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ropbox\ALWA Piura\1 Doing\2017\OLADE\1 Working\Product 1\Parte 2\"/>
    </mc:Choice>
  </mc:AlternateContent>
  <bookViews>
    <workbookView xWindow="0" yWindow="0" windowWidth="20490" windowHeight="9045" activeTab="2"/>
  </bookViews>
  <sheets>
    <sheet name="Resumen (Gg y Mg)" sheetId="1" r:id="rId1"/>
    <sheet name="BNEU-2013" sheetId="4" r:id="rId2"/>
    <sheet name="Reducción emisiones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\x" localSheetId="0">#REF!</definedName>
    <definedName name="\x">#REF!</definedName>
    <definedName name="__123Graph_A" hidden="1">'[6]5'!#REF!</definedName>
    <definedName name="__123Graph_B" hidden="1">'[6]5'!#REF!</definedName>
    <definedName name="__123Graph_X" hidden="1">'[6]5'!#REF!</definedName>
    <definedName name="_CRE2" localSheetId="0">#REF!</definedName>
    <definedName name="_CRE2">#REF!</definedName>
    <definedName name="_Fill" hidden="1">'[6]5'!#REF!</definedName>
    <definedName name="_Key1" hidden="1">#REF!</definedName>
    <definedName name="_Order1" hidden="1">255</definedName>
    <definedName name="_Order2" hidden="1">0</definedName>
    <definedName name="_RCC10" localSheetId="0">#REF!</definedName>
    <definedName name="_RCC10">#REF!</definedName>
    <definedName name="_RCC11" localSheetId="0">#REF!</definedName>
    <definedName name="_RCC11">#REF!</definedName>
    <definedName name="_RCC12" localSheetId="0">#REF!</definedName>
    <definedName name="_RCC12">#REF!</definedName>
    <definedName name="_RCC13" localSheetId="0">#REF!</definedName>
    <definedName name="_RCC13">#REF!</definedName>
    <definedName name="_RCC15" localSheetId="0">#REF!</definedName>
    <definedName name="_RCC15">#REF!</definedName>
    <definedName name="_RCC16" localSheetId="0">#REF!</definedName>
    <definedName name="_RCC16">#REF!</definedName>
    <definedName name="_RCC19" localSheetId="0">#REF!</definedName>
    <definedName name="_RCC19">#REF!</definedName>
    <definedName name="_RCC20" localSheetId="0">#REF!</definedName>
    <definedName name="_RCC20">#REF!</definedName>
    <definedName name="_RCC21" localSheetId="0">#REF!</definedName>
    <definedName name="_RCC21">#REF!</definedName>
    <definedName name="_RCC33" localSheetId="0">#REF!</definedName>
    <definedName name="_RCC33">#REF!</definedName>
    <definedName name="_RCC4" localSheetId="0">#REF!</definedName>
    <definedName name="_RCC4">#REF!</definedName>
    <definedName name="_RCC5" localSheetId="0">#REF!</definedName>
    <definedName name="_RCC5">#REF!</definedName>
    <definedName name="_RCC6" localSheetId="0">#REF!</definedName>
    <definedName name="_RCC6">#REF!</definedName>
    <definedName name="_RCC7" localSheetId="0">#REF!</definedName>
    <definedName name="_RCC7">#REF!</definedName>
    <definedName name="_RCC8" localSheetId="0">#REF!</definedName>
    <definedName name="_RCC8">#REF!</definedName>
    <definedName name="_RCC9" localSheetId="0">#REF!</definedName>
    <definedName name="_RCC9">#REF!</definedName>
    <definedName name="_RCC98" localSheetId="0">#REF!</definedName>
    <definedName name="_RCC98">#REF!</definedName>
    <definedName name="_RCC99" localSheetId="0">#REF!</definedName>
    <definedName name="_RCC99">#REF!</definedName>
    <definedName name="_Sort" hidden="1">#REF!</definedName>
    <definedName name="_Table1_Out" hidden="1">#REF!</definedName>
    <definedName name="ANEXO41" localSheetId="0">#REF!</definedName>
    <definedName name="ANEXO41">#REF!</definedName>
    <definedName name="ANEXO42" localSheetId="0">#REF!</definedName>
    <definedName name="ANEXO42">#REF!</definedName>
    <definedName name="ANEXO43" localSheetId="0">#REF!</definedName>
    <definedName name="ANEXO43">#REF!</definedName>
    <definedName name="ANEXO44" localSheetId="0">#REF!</definedName>
    <definedName name="ANEXO44">#REF!</definedName>
    <definedName name="ANEXO45" localSheetId="0">#REF!</definedName>
    <definedName name="ANEXO45">#REF!</definedName>
    <definedName name="ANEXO49" localSheetId="0">#REF!</definedName>
    <definedName name="ANEXO49">#REF!</definedName>
    <definedName name="Baseline_fuel" localSheetId="0">#REF!</definedName>
    <definedName name="Baseline_fuel">#REF!</definedName>
    <definedName name="celdas" localSheetId="0">#REF!</definedName>
    <definedName name="celdas">#REF!</definedName>
    <definedName name="cstAggregateType">"G21"</definedName>
    <definedName name="cstCountryNameColumn">2</definedName>
    <definedName name="cstDataColumn">13</definedName>
    <definedName name="cstDataRange">"I13:I242"</definedName>
    <definedName name="cstDisplayType">"G24"</definedName>
    <definedName name="cstNumDecimals">"G25"</definedName>
    <definedName name="cstReportNoteColumn">9</definedName>
    <definedName name="CUADRO11" localSheetId="0">#REF!</definedName>
    <definedName name="CUADRO11">#REF!</definedName>
    <definedName name="CUADRO12" localSheetId="0">#REF!</definedName>
    <definedName name="CUADRO12">#REF!</definedName>
    <definedName name="CUADRO15" localSheetId="0">#REF!</definedName>
    <definedName name="CUADRO15">#REF!</definedName>
    <definedName name="CUADRO16" localSheetId="0">#REF!</definedName>
    <definedName name="CUADRO16">#REF!</definedName>
    <definedName name="CUADRO17" localSheetId="0">#REF!</definedName>
    <definedName name="CUADRO17">#REF!</definedName>
    <definedName name="CUADRO18" localSheetId="0">#REF!</definedName>
    <definedName name="CUADRO18">#REF!</definedName>
    <definedName name="CUADRO24" localSheetId="0">#REF!</definedName>
    <definedName name="CUADRO24">#REF!</definedName>
    <definedName name="CUADRO25" localSheetId="0">#REF!</definedName>
    <definedName name="CUADRO25">#REF!</definedName>
    <definedName name="CUADRO26" localSheetId="0">#REF!</definedName>
    <definedName name="CUADRO26">#REF!</definedName>
    <definedName name="CUADRO28" localSheetId="0">#REF!</definedName>
    <definedName name="CUADRO28">#REF!</definedName>
    <definedName name="CUADRO29" localSheetId="0">#REF!</definedName>
    <definedName name="CUADRO29">#REF!</definedName>
    <definedName name="CUADRO30" localSheetId="0">#REF!</definedName>
    <definedName name="CUADRO30">#REF!</definedName>
    <definedName name="CUADRO31" localSheetId="0">#REF!</definedName>
    <definedName name="CUADRO31">#REF!</definedName>
    <definedName name="CUADRO38" localSheetId="0">#REF!</definedName>
    <definedName name="CUADRO38">#REF!</definedName>
    <definedName name="CUADRO8" localSheetId="0">#REF!</definedName>
    <definedName name="CUADRO8">#REF!</definedName>
    <definedName name="DATA" localSheetId="0">#REF!</definedName>
    <definedName name="DATA">#REF!</definedName>
    <definedName name="dataRange">"I13:I242"</definedName>
    <definedName name="DATE" localSheetId="0">#REF!</definedName>
    <definedName name="DATE">#REF!</definedName>
    <definedName name="e" localSheetId="0">#REF!</definedName>
    <definedName name="e">#REF!</definedName>
    <definedName name="ETIQUETAS" localSheetId="0">#REF!</definedName>
    <definedName name="ETIQUETAS">#REF!</definedName>
    <definedName name="Excel_BuiltIn_Print_Area_2" localSheetId="0">#REF!</definedName>
    <definedName name="Excel_BuiltIn_Print_Area_2">#REF!</definedName>
    <definedName name="Excel_BuiltIn_Print_Area_3" localSheetId="0">#REF!</definedName>
    <definedName name="Excel_BuiltIn_Print_Area_3">#REF!</definedName>
    <definedName name="FEt_D2">'Reducción emisiones'!$W$41</definedName>
    <definedName name="FEt_GHO">'Reducción emisiones'!$W$38</definedName>
    <definedName name="FEt_GLP">'Reducción emisiones'!$W$37</definedName>
    <definedName name="FEt_LEN">'Reducción emisiones'!$W$39</definedName>
    <definedName name="FEt_TUR">'Reducción emisiones'!$W$40</definedName>
    <definedName name="FREQS" localSheetId="0">#REF!</definedName>
    <definedName name="FREQS">#REF!</definedName>
    <definedName name="g" localSheetId="0">#REF!</definedName>
    <definedName name="g">#REF!</definedName>
    <definedName name="IMPCE05" localSheetId="0">#REF!</definedName>
    <definedName name="IMPCE05">#REF!</definedName>
    <definedName name="IMPCE07" localSheetId="0">#REF!</definedName>
    <definedName name="IMPCE07">#REF!</definedName>
    <definedName name="IMPCE08" localSheetId="0">#REF!</definedName>
    <definedName name="IMPCE08">#REF!</definedName>
    <definedName name="IMPCE12" localSheetId="0">#REF!</definedName>
    <definedName name="IMPCE12">#REF!</definedName>
    <definedName name="IMPCE13" localSheetId="0">#REF!</definedName>
    <definedName name="IMPCE13">#REF!</definedName>
    <definedName name="Imprimir_área_IM" localSheetId="0">#REF!</definedName>
    <definedName name="Imprimir_área_IM">#REF!</definedName>
    <definedName name="INPUT12" localSheetId="0">#REF!</definedName>
    <definedName name="INPUT12">#REF!</definedName>
    <definedName name="INPUT15" localSheetId="0">#REF!</definedName>
    <definedName name="INPUT15">#REF!</definedName>
    <definedName name="INPUT16" localSheetId="0">#REF!</definedName>
    <definedName name="INPUT16">#REF!</definedName>
    <definedName name="INPUT17" localSheetId="0">#REF!</definedName>
    <definedName name="INPUT17">#REF!</definedName>
    <definedName name="INPUT18A" localSheetId="0">#REF!</definedName>
    <definedName name="INPUT18A">#REF!</definedName>
    <definedName name="INPUT18B" localSheetId="0">#REF!</definedName>
    <definedName name="INPUT18B">#REF!</definedName>
    <definedName name="INPUT18C" localSheetId="0">#REF!</definedName>
    <definedName name="INPUT18C">#REF!</definedName>
    <definedName name="INPUT24" localSheetId="0">#REF!</definedName>
    <definedName name="INPUT24">#REF!</definedName>
    <definedName name="INPUT38" localSheetId="0">#REF!</definedName>
    <definedName name="INPUT38">#REF!</definedName>
    <definedName name="INPUT8" localSheetId="0">#REF!</definedName>
    <definedName name="INPUT8">#REF!</definedName>
    <definedName name="NOTAS" localSheetId="0">#REF!</definedName>
    <definedName name="NOTAS">#REF!</definedName>
    <definedName name="PORC" localSheetId="0">#REF!</definedName>
    <definedName name="PORC">#REF!</definedName>
    <definedName name="ratio">'Resumen (Gg y Mg)'!$Q$29</definedName>
    <definedName name="RCC10R" localSheetId="0">#REF!</definedName>
    <definedName name="RCC10R">#REF!</definedName>
    <definedName name="RCC20RE" localSheetId="0">#REF!</definedName>
    <definedName name="RCC20RE">#REF!</definedName>
    <definedName name="RCC2RN" localSheetId="0">#REF!</definedName>
    <definedName name="RCC2RN">#REF!</definedName>
    <definedName name="RCCRUCES" localSheetId="0">#REF!</definedName>
    <definedName name="RCCRUCES">#REF!</definedName>
    <definedName name="RCTC" localSheetId="0">#REF!</definedName>
    <definedName name="RCTC">#REF!</definedName>
    <definedName name="TABLE4" localSheetId="0">#REF!</definedName>
    <definedName name="TABLE4">#REF!</definedName>
    <definedName name="VAR" localSheetId="0">#REF!</definedName>
    <definedName name="VAR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8" i="3" l="1"/>
  <c r="W38" i="3" l="1"/>
  <c r="F22" i="3" s="1"/>
  <c r="W39" i="3"/>
  <c r="G22" i="3" s="1"/>
  <c r="W40" i="3"/>
  <c r="H22" i="3" s="1"/>
  <c r="W41" i="3"/>
  <c r="K22" i="3" s="1"/>
  <c r="W37" i="3"/>
  <c r="E22" i="3" s="1"/>
  <c r="J22" i="3" l="1"/>
  <c r="E23" i="3"/>
  <c r="E24" i="3" s="1"/>
  <c r="E25" i="3" s="1"/>
  <c r="E26" i="3" s="1"/>
  <c r="E27" i="3" s="1"/>
  <c r="E28" i="3" s="1"/>
  <c r="E29" i="3" s="1"/>
  <c r="E30" i="3" s="1"/>
  <c r="E31" i="3" s="1"/>
  <c r="E32" i="3" s="1"/>
  <c r="E33" i="3" s="1"/>
  <c r="E34" i="3" s="1"/>
  <c r="E35" i="3" s="1"/>
  <c r="F23" i="3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G23" i="3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H23" i="3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J23" i="3"/>
  <c r="J24" i="3" s="1"/>
  <c r="J25" i="3" s="1"/>
  <c r="J26" i="3" s="1"/>
  <c r="J27" i="3" s="1"/>
  <c r="J28" i="3" s="1"/>
  <c r="J29" i="3" s="1"/>
  <c r="J30" i="3" s="1"/>
  <c r="J31" i="3" s="1"/>
  <c r="J32" i="3" s="1"/>
  <c r="J33" i="3" s="1"/>
  <c r="J34" i="3" s="1"/>
  <c r="J35" i="3" s="1"/>
  <c r="K23" i="3"/>
  <c r="K24" i="3" s="1"/>
  <c r="K25" i="3" s="1"/>
  <c r="K26" i="3" s="1"/>
  <c r="K27" i="3" s="1"/>
  <c r="K28" i="3" s="1"/>
  <c r="K29" i="3" s="1"/>
  <c r="K30" i="3" s="1"/>
  <c r="K31" i="3" s="1"/>
  <c r="K32" i="3" s="1"/>
  <c r="K33" i="3" s="1"/>
  <c r="K34" i="3" s="1"/>
  <c r="K35" i="3" s="1"/>
  <c r="Q29" i="1"/>
  <c r="O29" i="1"/>
  <c r="N29" i="1"/>
  <c r="M29" i="1"/>
  <c r="P27" i="1"/>
  <c r="M27" i="1"/>
  <c r="L18" i="3" l="1"/>
  <c r="S4" i="3"/>
  <c r="H15" i="3" s="1"/>
  <c r="F15" i="3" l="1"/>
  <c r="D15" i="3"/>
  <c r="J15" i="3"/>
  <c r="I15" i="3"/>
  <c r="E15" i="3"/>
  <c r="G15" i="3"/>
  <c r="K15" i="3"/>
  <c r="O27" i="1"/>
  <c r="N27" i="1"/>
  <c r="P26" i="1"/>
  <c r="O26" i="1"/>
  <c r="N26" i="1"/>
  <c r="M26" i="1"/>
  <c r="K79" i="1"/>
  <c r="J79" i="1"/>
  <c r="I79" i="1"/>
  <c r="H79" i="1"/>
  <c r="K78" i="1"/>
  <c r="J78" i="1"/>
  <c r="I78" i="1"/>
  <c r="H78" i="1"/>
  <c r="K77" i="1"/>
  <c r="J77" i="1"/>
  <c r="I77" i="1"/>
  <c r="H77" i="1"/>
  <c r="K76" i="1"/>
  <c r="J76" i="1"/>
  <c r="I76" i="1"/>
  <c r="H76" i="1"/>
  <c r="K75" i="1"/>
  <c r="J75" i="1"/>
  <c r="I75" i="1"/>
  <c r="H75" i="1"/>
  <c r="K74" i="1"/>
  <c r="J74" i="1"/>
  <c r="I74" i="1"/>
  <c r="H74" i="1"/>
  <c r="K73" i="1"/>
  <c r="J73" i="1"/>
  <c r="I73" i="1"/>
  <c r="H73" i="1"/>
  <c r="K72" i="1"/>
  <c r="J72" i="1"/>
  <c r="I72" i="1"/>
  <c r="H72" i="1"/>
  <c r="K71" i="1"/>
  <c r="J71" i="1"/>
  <c r="I71" i="1"/>
  <c r="H71" i="1"/>
  <c r="K70" i="1"/>
  <c r="J70" i="1"/>
  <c r="I70" i="1"/>
  <c r="H70" i="1"/>
  <c r="K69" i="1"/>
  <c r="J69" i="1"/>
  <c r="I69" i="1"/>
  <c r="H69" i="1"/>
  <c r="K68" i="1"/>
  <c r="J68" i="1"/>
  <c r="I68" i="1"/>
  <c r="H68" i="1"/>
  <c r="K67" i="1"/>
  <c r="J67" i="1"/>
  <c r="I67" i="1"/>
  <c r="H67" i="1"/>
  <c r="K66" i="1"/>
  <c r="J66" i="1"/>
  <c r="I66" i="1"/>
  <c r="H66" i="1"/>
  <c r="K65" i="1"/>
  <c r="J65" i="1"/>
  <c r="I65" i="1"/>
  <c r="H65" i="1"/>
  <c r="K64" i="1"/>
  <c r="J64" i="1"/>
  <c r="I64" i="1"/>
  <c r="H64" i="1"/>
  <c r="K63" i="1"/>
  <c r="J63" i="1"/>
  <c r="I63" i="1"/>
  <c r="H63" i="1"/>
  <c r="K62" i="1"/>
  <c r="J62" i="1"/>
  <c r="I62" i="1"/>
  <c r="H62" i="1"/>
  <c r="K61" i="1"/>
  <c r="J61" i="1"/>
  <c r="I61" i="1"/>
  <c r="H61" i="1"/>
  <c r="K60" i="1"/>
  <c r="J60" i="1"/>
  <c r="I60" i="1"/>
  <c r="H60" i="1"/>
  <c r="K59" i="1"/>
  <c r="J59" i="1"/>
  <c r="I59" i="1"/>
  <c r="H59" i="1"/>
  <c r="K58" i="1"/>
  <c r="J58" i="1"/>
  <c r="I58" i="1"/>
  <c r="H58" i="1"/>
  <c r="K57" i="1"/>
  <c r="J57" i="1"/>
  <c r="I57" i="1"/>
  <c r="H57" i="1"/>
  <c r="K56" i="1"/>
  <c r="J56" i="1"/>
  <c r="I56" i="1"/>
  <c r="H56" i="1"/>
  <c r="K55" i="1"/>
  <c r="J55" i="1"/>
  <c r="I55" i="1"/>
  <c r="H55" i="1"/>
  <c r="K54" i="1"/>
  <c r="J54" i="1"/>
  <c r="I54" i="1"/>
  <c r="H54" i="1"/>
  <c r="K53" i="1"/>
  <c r="J53" i="1"/>
  <c r="I53" i="1"/>
  <c r="H53" i="1"/>
  <c r="K52" i="1"/>
  <c r="J52" i="1"/>
  <c r="I52" i="1"/>
  <c r="H52" i="1"/>
  <c r="K51" i="1"/>
  <c r="J51" i="1"/>
  <c r="I51" i="1"/>
  <c r="H51" i="1"/>
  <c r="K50" i="1"/>
  <c r="J50" i="1"/>
  <c r="I50" i="1"/>
  <c r="H50" i="1"/>
  <c r="K49" i="1"/>
  <c r="J49" i="1"/>
  <c r="I49" i="1"/>
  <c r="H49" i="1"/>
  <c r="K48" i="1"/>
  <c r="J48" i="1"/>
  <c r="I48" i="1"/>
  <c r="H48" i="1"/>
  <c r="K47" i="1"/>
  <c r="J47" i="1"/>
  <c r="I47" i="1"/>
  <c r="H47" i="1"/>
  <c r="K46" i="1"/>
  <c r="J46" i="1"/>
  <c r="I46" i="1"/>
  <c r="H46" i="1"/>
  <c r="K45" i="1"/>
  <c r="J45" i="1"/>
  <c r="I45" i="1"/>
  <c r="H45" i="1"/>
  <c r="K44" i="1"/>
  <c r="J44" i="1"/>
  <c r="I44" i="1"/>
  <c r="H44" i="1"/>
  <c r="K43" i="1"/>
  <c r="J43" i="1"/>
  <c r="I43" i="1"/>
  <c r="H43" i="1"/>
  <c r="K42" i="1"/>
  <c r="J42" i="1"/>
  <c r="I42" i="1"/>
  <c r="H42" i="1"/>
  <c r="K41" i="1"/>
  <c r="J41" i="1"/>
  <c r="I41" i="1"/>
  <c r="H41" i="1"/>
  <c r="K40" i="1"/>
  <c r="J40" i="1"/>
  <c r="I40" i="1"/>
  <c r="H40" i="1"/>
  <c r="K39" i="1"/>
  <c r="J39" i="1"/>
  <c r="I39" i="1"/>
  <c r="H39" i="1"/>
  <c r="K38" i="1"/>
  <c r="J38" i="1"/>
  <c r="I38" i="1"/>
  <c r="H38" i="1"/>
  <c r="K37" i="1"/>
  <c r="J37" i="1"/>
  <c r="I37" i="1"/>
  <c r="H37" i="1"/>
  <c r="K36" i="1"/>
  <c r="J36" i="1"/>
  <c r="I36" i="1"/>
  <c r="H36" i="1"/>
  <c r="K35" i="1"/>
  <c r="J35" i="1"/>
  <c r="I35" i="1"/>
  <c r="H35" i="1"/>
  <c r="K34" i="1"/>
  <c r="J34" i="1"/>
  <c r="I34" i="1"/>
  <c r="H34" i="1"/>
  <c r="K33" i="1"/>
  <c r="J33" i="1"/>
  <c r="I33" i="1"/>
  <c r="H33" i="1"/>
  <c r="K32" i="1"/>
  <c r="J32" i="1"/>
  <c r="I32" i="1"/>
  <c r="H32" i="1"/>
  <c r="K31" i="1"/>
  <c r="J31" i="1"/>
  <c r="I31" i="1"/>
  <c r="H31" i="1"/>
  <c r="K30" i="1"/>
  <c r="J30" i="1"/>
  <c r="I30" i="1"/>
  <c r="H30" i="1"/>
  <c r="K29" i="1"/>
  <c r="J29" i="1"/>
  <c r="I29" i="1"/>
  <c r="H29" i="1"/>
  <c r="K28" i="1"/>
  <c r="J28" i="1"/>
  <c r="I28" i="1"/>
  <c r="H28" i="1"/>
  <c r="K27" i="1"/>
  <c r="J27" i="1"/>
  <c r="I27" i="1"/>
  <c r="H27" i="1"/>
  <c r="K26" i="1"/>
  <c r="J26" i="1"/>
  <c r="I26" i="1"/>
  <c r="H26" i="1"/>
  <c r="K25" i="1"/>
  <c r="J25" i="1"/>
  <c r="I25" i="1"/>
  <c r="H25" i="1"/>
  <c r="K24" i="1"/>
  <c r="J24" i="1"/>
  <c r="I24" i="1"/>
  <c r="H24" i="1"/>
  <c r="K23" i="1"/>
  <c r="J23" i="1"/>
  <c r="I23" i="1"/>
  <c r="H23" i="1"/>
  <c r="K22" i="1"/>
  <c r="J22" i="1"/>
  <c r="I22" i="1"/>
  <c r="H22" i="1"/>
  <c r="K21" i="1"/>
  <c r="J21" i="1"/>
  <c r="I21" i="1"/>
  <c r="H21" i="1"/>
  <c r="K19" i="1"/>
  <c r="J19" i="1"/>
  <c r="I19" i="1"/>
  <c r="H19" i="1"/>
  <c r="K18" i="1"/>
  <c r="J18" i="1"/>
  <c r="I18" i="1"/>
  <c r="H18" i="1"/>
  <c r="K17" i="1"/>
  <c r="J17" i="1"/>
  <c r="I17" i="1"/>
  <c r="H17" i="1"/>
  <c r="K16" i="1"/>
  <c r="J16" i="1"/>
  <c r="I16" i="1"/>
  <c r="H16" i="1"/>
  <c r="K15" i="1"/>
  <c r="J15" i="1"/>
  <c r="I15" i="1"/>
  <c r="H15" i="1"/>
  <c r="K14" i="1"/>
  <c r="J14" i="1"/>
  <c r="I14" i="1"/>
  <c r="H14" i="1"/>
  <c r="K13" i="1"/>
  <c r="J13" i="1"/>
  <c r="I13" i="1"/>
  <c r="H13" i="1"/>
  <c r="K12" i="1"/>
  <c r="J12" i="1"/>
  <c r="I12" i="1"/>
  <c r="H12" i="1"/>
  <c r="K11" i="1"/>
  <c r="J11" i="1"/>
  <c r="I11" i="1"/>
  <c r="H11" i="1"/>
  <c r="K10" i="1"/>
  <c r="J10" i="1"/>
  <c r="I10" i="1"/>
  <c r="H10" i="1"/>
  <c r="K9" i="1"/>
  <c r="J9" i="1"/>
  <c r="I9" i="1"/>
  <c r="H9" i="1"/>
  <c r="K8" i="1"/>
  <c r="J8" i="1"/>
  <c r="I8" i="1"/>
  <c r="H8" i="1"/>
  <c r="K7" i="1"/>
  <c r="J7" i="1"/>
  <c r="I7" i="1"/>
  <c r="H7" i="1"/>
  <c r="K6" i="1"/>
  <c r="J6" i="1"/>
  <c r="I6" i="1"/>
  <c r="H6" i="1"/>
  <c r="D22" i="3" l="1"/>
  <c r="D23" i="3" s="1"/>
  <c r="D24" i="3" s="1"/>
  <c r="D42" i="3" s="1"/>
  <c r="L15" i="3"/>
  <c r="I16" i="3" s="1"/>
  <c r="H42" i="3" l="1"/>
  <c r="G42" i="3"/>
  <c r="G16" i="3"/>
  <c r="K16" i="3"/>
  <c r="D16" i="3"/>
  <c r="F16" i="3"/>
  <c r="H16" i="3"/>
  <c r="D25" i="3"/>
  <c r="D26" i="3" s="1"/>
  <c r="D41" i="3"/>
  <c r="E42" i="3"/>
  <c r="F42" i="3"/>
  <c r="E16" i="3"/>
  <c r="J16" i="3"/>
  <c r="D40" i="3"/>
  <c r="D43" i="3" l="1"/>
  <c r="E40" i="3"/>
  <c r="F41" i="3"/>
  <c r="H41" i="3"/>
  <c r="G41" i="3"/>
  <c r="E41" i="3"/>
  <c r="F43" i="3"/>
  <c r="E43" i="3"/>
  <c r="D44" i="3"/>
  <c r="D27" i="3"/>
  <c r="H44" i="3" l="1"/>
  <c r="G44" i="3"/>
  <c r="F40" i="3"/>
  <c r="H43" i="3"/>
  <c r="G43" i="3"/>
  <c r="F44" i="3"/>
  <c r="E44" i="3"/>
  <c r="D45" i="3"/>
  <c r="D28" i="3"/>
  <c r="G40" i="3" l="1"/>
  <c r="H45" i="3"/>
  <c r="G45" i="3"/>
  <c r="E45" i="3"/>
  <c r="F45" i="3"/>
  <c r="D46" i="3"/>
  <c r="D29" i="3"/>
  <c r="H40" i="3" l="1"/>
  <c r="G46" i="3"/>
  <c r="H46" i="3"/>
  <c r="F46" i="3"/>
  <c r="E46" i="3"/>
  <c r="D47" i="3"/>
  <c r="D30" i="3"/>
  <c r="H47" i="3" l="1"/>
  <c r="G47" i="3"/>
  <c r="F47" i="3"/>
  <c r="E47" i="3"/>
  <c r="D48" i="3"/>
  <c r="D31" i="3"/>
  <c r="H48" i="3" l="1"/>
  <c r="G48" i="3"/>
  <c r="F48" i="3"/>
  <c r="E48" i="3"/>
  <c r="D49" i="3"/>
  <c r="D32" i="3"/>
  <c r="H49" i="3" l="1"/>
  <c r="G49" i="3"/>
  <c r="E49" i="3"/>
  <c r="F49" i="3"/>
  <c r="D50" i="3"/>
  <c r="D33" i="3"/>
  <c r="H50" i="3" l="1"/>
  <c r="G50" i="3"/>
  <c r="E50" i="3"/>
  <c r="F50" i="3"/>
  <c r="D51" i="3"/>
  <c r="D34" i="3"/>
  <c r="H51" i="3" l="1"/>
  <c r="G51" i="3"/>
  <c r="F51" i="3"/>
  <c r="E51" i="3"/>
  <c r="D52" i="3"/>
  <c r="D35" i="3"/>
  <c r="D53" i="3" s="1"/>
  <c r="H53" i="3" l="1"/>
  <c r="G53" i="3"/>
  <c r="D54" i="3"/>
  <c r="H52" i="3"/>
  <c r="G52" i="3"/>
  <c r="E53" i="3"/>
  <c r="F53" i="3"/>
  <c r="F52" i="3"/>
  <c r="E52" i="3"/>
  <c r="F54" i="3" l="1"/>
  <c r="F55" i="3" s="1"/>
  <c r="F56" i="3" s="1"/>
  <c r="E54" i="3"/>
  <c r="E55" i="3" s="1"/>
  <c r="E56" i="3" s="1"/>
  <c r="G54" i="3"/>
  <c r="G55" i="3" s="1"/>
  <c r="G56" i="3" s="1"/>
  <c r="H54" i="3"/>
  <c r="H55" i="3" s="1"/>
  <c r="H56" i="3" s="1"/>
</calcChain>
</file>

<file path=xl/sharedStrings.xml><?xml version="1.0" encoding="utf-8"?>
<sst xmlns="http://schemas.openxmlformats.org/spreadsheetml/2006/main" count="299" uniqueCount="211">
  <si>
    <t>Inventarios Nacionales de Gases de Efecto Invernadero - 2000, 2005, 2010 y 2012</t>
  </si>
  <si>
    <t xml:space="preserve">Clasificación </t>
  </si>
  <si>
    <t>Categorías de fuentes y sumideros</t>
  </si>
  <si>
    <r>
      <t>Emisiones GEI [GgCO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e]</t>
    </r>
  </si>
  <si>
    <t>Inventario Nacional de Gases de Efecto Invernadero</t>
  </si>
  <si>
    <t>Energía</t>
  </si>
  <si>
    <t>1A</t>
  </si>
  <si>
    <t>Quema de combustibles</t>
  </si>
  <si>
    <t>1A1</t>
  </si>
  <si>
    <t>Industrias de energía</t>
  </si>
  <si>
    <t>1A1a</t>
  </si>
  <si>
    <t>Producción de electricidad como actividad principal</t>
  </si>
  <si>
    <r>
      <t>1A1a</t>
    </r>
    <r>
      <rPr>
        <i/>
        <sz val="9"/>
        <color rgb="FF000000"/>
        <rFont val="Times New Roman"/>
        <family val="1"/>
      </rPr>
      <t>i</t>
    </r>
    <r>
      <rPr>
        <vertAlign val="superscript"/>
        <sz val="11"/>
        <color rgb="FFFF0000"/>
        <rFont val="Arial"/>
        <family val="2"/>
      </rPr>
      <t>*1</t>
    </r>
  </si>
  <si>
    <t>Generación de electricidad en el SEIN</t>
  </si>
  <si>
    <r>
      <t>1A1a</t>
    </r>
    <r>
      <rPr>
        <i/>
        <sz val="9"/>
        <color rgb="FF000000"/>
        <rFont val="Times New Roman"/>
        <family val="1"/>
      </rPr>
      <t>ii</t>
    </r>
    <r>
      <rPr>
        <vertAlign val="superscript"/>
        <sz val="11"/>
        <color rgb="FFFF0000"/>
        <rFont val="Arial"/>
        <family val="2"/>
      </rPr>
      <t>*2</t>
    </r>
  </si>
  <si>
    <t>Generación de electricidad en el SA</t>
  </si>
  <si>
    <t>1A1b</t>
  </si>
  <si>
    <t>Refinerías de petróleo</t>
  </si>
  <si>
    <t>1A1c</t>
  </si>
  <si>
    <t>Fabricación de combustibles sólidos y otras industrias energéticas</t>
  </si>
  <si>
    <t>1A2</t>
  </si>
  <si>
    <t>Industrias de manufactura y construcción</t>
  </si>
  <si>
    <r>
      <rPr>
        <sz val="9"/>
        <color theme="1"/>
        <rFont val="Arial"/>
        <family val="2"/>
      </rPr>
      <t>1A2a</t>
    </r>
    <r>
      <rPr>
        <vertAlign val="superscript"/>
        <sz val="11"/>
        <color rgb="FFFF0000"/>
        <rFont val="Arial"/>
        <family val="2"/>
      </rPr>
      <t>*3</t>
    </r>
  </si>
  <si>
    <t>Minería y cantería</t>
  </si>
  <si>
    <r>
      <t>1A2b</t>
    </r>
    <r>
      <rPr>
        <vertAlign val="superscript"/>
        <sz val="11"/>
        <color rgb="FFFF0000"/>
        <rFont val="Arial"/>
        <family val="2"/>
      </rPr>
      <t>*4</t>
    </r>
  </si>
  <si>
    <t>Otras industrias de manufactura y construcción</t>
  </si>
  <si>
    <t>1A3</t>
  </si>
  <si>
    <t>Transporte</t>
  </si>
  <si>
    <t>1A3a</t>
  </si>
  <si>
    <t>Aviación civil</t>
  </si>
  <si>
    <r>
      <t>1A3a</t>
    </r>
    <r>
      <rPr>
        <i/>
        <sz val="10"/>
        <color theme="1"/>
        <rFont val="Times New Roman"/>
        <family val="1"/>
      </rPr>
      <t>i</t>
    </r>
  </si>
  <si>
    <t>Aviación internacional</t>
  </si>
  <si>
    <r>
      <t>1A3a</t>
    </r>
    <r>
      <rPr>
        <i/>
        <sz val="10"/>
        <color theme="1"/>
        <rFont val="Times New Roman"/>
        <family val="1"/>
      </rPr>
      <t>ii</t>
    </r>
  </si>
  <si>
    <t>Aviación nacional</t>
  </si>
  <si>
    <t>1A3b</t>
  </si>
  <si>
    <t>Terrestre</t>
  </si>
  <si>
    <t>1A3c</t>
  </si>
  <si>
    <t>Ferroviario</t>
  </si>
  <si>
    <t>1A3d</t>
  </si>
  <si>
    <t>Navegación marítima y fluvial</t>
  </si>
  <si>
    <t>1A3e</t>
  </si>
  <si>
    <t>Otro tipo de transporte</t>
  </si>
  <si>
    <t>1A4</t>
  </si>
  <si>
    <t>Otros sectores</t>
  </si>
  <si>
    <t>1A4b</t>
  </si>
  <si>
    <r>
      <t>Residencial / Comercial</t>
    </r>
    <r>
      <rPr>
        <vertAlign val="superscript"/>
        <sz val="11"/>
        <color rgb="FFFF0000"/>
        <rFont val="Arial"/>
        <family val="2"/>
      </rPr>
      <t>*6</t>
    </r>
  </si>
  <si>
    <t>1A4c</t>
  </si>
  <si>
    <r>
      <t xml:space="preserve">Agricultura </t>
    </r>
    <r>
      <rPr>
        <vertAlign val="superscript"/>
        <sz val="11"/>
        <color rgb="FFFF0000"/>
        <rFont val="Arial"/>
        <family val="2"/>
      </rPr>
      <t>*7</t>
    </r>
  </si>
  <si>
    <t>1A4d</t>
  </si>
  <si>
    <r>
      <t>Pesca</t>
    </r>
    <r>
      <rPr>
        <sz val="11"/>
        <color rgb="FFFF0000"/>
        <rFont val="Arial"/>
        <family val="2"/>
      </rPr>
      <t xml:space="preserve"> </t>
    </r>
    <r>
      <rPr>
        <vertAlign val="superscript"/>
        <sz val="11"/>
        <color rgb="FFFF0000"/>
        <rFont val="Arial"/>
        <family val="2"/>
      </rPr>
      <t>*8</t>
    </r>
  </si>
  <si>
    <t>1B</t>
  </si>
  <si>
    <t>Emisiones fugitivas de combustibles</t>
  </si>
  <si>
    <t>1B1</t>
  </si>
  <si>
    <t>Combustibles sólidos</t>
  </si>
  <si>
    <t>1B2</t>
  </si>
  <si>
    <t>Petróleo y gas natural</t>
  </si>
  <si>
    <t>Procesos Industriales y uso de productos</t>
  </si>
  <si>
    <t>2A</t>
  </si>
  <si>
    <t>Productos minerales</t>
  </si>
  <si>
    <t>2A1</t>
  </si>
  <si>
    <t>Producción de cemento</t>
  </si>
  <si>
    <t>2A2</t>
  </si>
  <si>
    <t>Producción de cal</t>
  </si>
  <si>
    <t>2A4</t>
  </si>
  <si>
    <t xml:space="preserve">Otros usos de carbonatos </t>
  </si>
  <si>
    <t>2A4a</t>
  </si>
  <si>
    <t>Cerámicas (ladrillos)</t>
  </si>
  <si>
    <t>2A4b</t>
  </si>
  <si>
    <t>Otros usos de ceniza de sosa</t>
  </si>
  <si>
    <t>2B</t>
  </si>
  <si>
    <t>Industria química</t>
  </si>
  <si>
    <t>2B1</t>
  </si>
  <si>
    <t>Producción de amoniaco</t>
  </si>
  <si>
    <t>2B2</t>
  </si>
  <si>
    <t>Producción de ácido nítrico</t>
  </si>
  <si>
    <t>2B3</t>
  </si>
  <si>
    <t>Producción de ácido adípico</t>
  </si>
  <si>
    <t>2B4</t>
  </si>
  <si>
    <t>Producción de carburo de calcio</t>
  </si>
  <si>
    <t>2C</t>
  </si>
  <si>
    <t>Producción de metal</t>
  </si>
  <si>
    <t>2C1</t>
  </si>
  <si>
    <t>Producción de hierro y acero</t>
  </si>
  <si>
    <t>2C2</t>
  </si>
  <si>
    <t>Producción de ferroaleaciones</t>
  </si>
  <si>
    <t>2C3</t>
  </si>
  <si>
    <t>Producción de aluminio</t>
  </si>
  <si>
    <t>2C5</t>
  </si>
  <si>
    <t>Producción de plomo</t>
  </si>
  <si>
    <t>2C6</t>
  </si>
  <si>
    <t>Producción de Cinc</t>
  </si>
  <si>
    <t>Agricultura</t>
  </si>
  <si>
    <t>4A</t>
  </si>
  <si>
    <t>Fermentación entérica</t>
  </si>
  <si>
    <t>4B</t>
  </si>
  <si>
    <t>Manejo del estiércol</t>
  </si>
  <si>
    <t>4C</t>
  </si>
  <si>
    <t>Cultivos de arroz</t>
  </si>
  <si>
    <t>4D</t>
  </si>
  <si>
    <t>Suelos agrícolas</t>
  </si>
  <si>
    <t>4E</t>
  </si>
  <si>
    <t>Quema de sabanas (pastos)</t>
  </si>
  <si>
    <t>4F</t>
  </si>
  <si>
    <t>Quema de residuos agrícolas</t>
  </si>
  <si>
    <t>Uso de suelos, cambio de uso de suelos y silvicultura</t>
  </si>
  <si>
    <t>5A</t>
  </si>
  <si>
    <t>Cambios en biomasa y otros stocks leñosos</t>
  </si>
  <si>
    <r>
      <t>5A1</t>
    </r>
    <r>
      <rPr>
        <sz val="9"/>
        <color rgb="FFFF0000"/>
        <rFont val="Arial"/>
        <family val="2"/>
      </rPr>
      <t>*</t>
    </r>
  </si>
  <si>
    <t>Pérdidas (tala, leña e incendios - bosques primarios)</t>
  </si>
  <si>
    <r>
      <t>5A2</t>
    </r>
    <r>
      <rPr>
        <sz val="9"/>
        <color rgb="FFFF0000"/>
        <rFont val="Arial"/>
        <family val="2"/>
      </rPr>
      <t>*</t>
    </r>
  </si>
  <si>
    <t>Incremento de biomasa</t>
  </si>
  <si>
    <r>
      <t>5A3</t>
    </r>
    <r>
      <rPr>
        <sz val="9"/>
        <color rgb="FFFF0000"/>
        <rFont val="Arial"/>
        <family val="2"/>
      </rPr>
      <t>*</t>
    </r>
  </si>
  <si>
    <t>Cultivos Perennes</t>
  </si>
  <si>
    <t>5B</t>
  </si>
  <si>
    <t>Conversión de Bosques y Praderas</t>
  </si>
  <si>
    <r>
      <t>5B1</t>
    </r>
    <r>
      <rPr>
        <sz val="9"/>
        <color rgb="FFFF0000"/>
        <rFont val="Arial"/>
        <family val="2"/>
      </rPr>
      <t>*</t>
    </r>
  </si>
  <si>
    <t>Tierra Forestal a Tierras Agrícolas</t>
  </si>
  <si>
    <r>
      <t>5B2</t>
    </r>
    <r>
      <rPr>
        <sz val="9"/>
        <color rgb="FFFF0000"/>
        <rFont val="Arial"/>
        <family val="2"/>
      </rPr>
      <t>*</t>
    </r>
  </si>
  <si>
    <t>Tierra Forestal a Praderas</t>
  </si>
  <si>
    <r>
      <t>5B3</t>
    </r>
    <r>
      <rPr>
        <sz val="9"/>
        <color rgb="FFFF0000"/>
        <rFont val="Arial"/>
        <family val="2"/>
      </rPr>
      <t>*</t>
    </r>
  </si>
  <si>
    <t>Tierra Forestal a Asentamientos</t>
  </si>
  <si>
    <r>
      <t>5B4</t>
    </r>
    <r>
      <rPr>
        <sz val="9"/>
        <color rgb="FFFF0000"/>
        <rFont val="Arial"/>
        <family val="2"/>
      </rPr>
      <t>*</t>
    </r>
  </si>
  <si>
    <t>Tierra Forestal a otros</t>
  </si>
  <si>
    <t>5C</t>
  </si>
  <si>
    <t>Abandono de tierras cultivadas</t>
  </si>
  <si>
    <t>5D</t>
  </si>
  <si>
    <t>Emisiones y absorciones en el suelo</t>
  </si>
  <si>
    <t>5E</t>
  </si>
  <si>
    <t>Otros (gases no CO2)</t>
  </si>
  <si>
    <t>Desechos</t>
  </si>
  <si>
    <t>6A</t>
  </si>
  <si>
    <t>Disposición de residuos sólidos</t>
  </si>
  <si>
    <t>6A1</t>
  </si>
  <si>
    <t>Residuos sólidos</t>
  </si>
  <si>
    <t>6B</t>
  </si>
  <si>
    <t>Tratamiento de aguas residuales</t>
  </si>
  <si>
    <t>6B1</t>
  </si>
  <si>
    <t>Efluentes industriales</t>
  </si>
  <si>
    <t>6B2</t>
  </si>
  <si>
    <t>Tratamiento y eliminación de aguas residuales domésticas</t>
  </si>
  <si>
    <t>6B2a</t>
  </si>
  <si>
    <t>Aguas residuales domésticas</t>
  </si>
  <si>
    <t>6B2b</t>
  </si>
  <si>
    <t>Excretas humanas</t>
  </si>
  <si>
    <t>*</t>
  </si>
  <si>
    <t>No son necesariamente iguales a las categorías de la GL2006</t>
  </si>
  <si>
    <r>
      <rPr>
        <u/>
        <sz val="9"/>
        <color theme="1"/>
        <rFont val="Arial"/>
        <family val="2"/>
      </rPr>
      <t>Notas y aclaraciones</t>
    </r>
    <r>
      <rPr>
        <sz val="9"/>
        <color theme="1"/>
        <rFont val="Arial"/>
        <family val="2"/>
      </rPr>
      <t>:</t>
    </r>
  </si>
  <si>
    <t>*1</t>
  </si>
  <si>
    <t>Esta clasificación no es original de las GL2006. Se ha incluido por la importancia del Sistema Eléctrico Interconectado Nacional (SEIN) en la generación eléctrica del Perú</t>
  </si>
  <si>
    <t>*2</t>
  </si>
  <si>
    <t>Esta clasificación no es original de las GL2006. Se ha incluido por la importancia del Sistema Aislado (SEIN) en la generación eléctrica del Perú</t>
  </si>
  <si>
    <t>*3</t>
  </si>
  <si>
    <t>Se considera que "Minería y cantería", con los códigos CIIU 13 y 14 (Extracción de minerales metalíferos y  Explotación de otras minas y canteras), es la misma actividad reportada por el sector minero peruano del Perú</t>
  </si>
  <si>
    <t>*4</t>
  </si>
  <si>
    <t>Se considera el consumo de combustibles de todas las otras industrias, a excepción del sector minero peruano.</t>
  </si>
  <si>
    <t>*5</t>
  </si>
  <si>
    <t>La categoría GL2006 dice: "Comercial / institucional", sin embargo, para el INGEI 2012 -debido a la información del nivel de actividad  en Perú (BNE)- se considera esta categoría como: "Público" (Institucional)</t>
  </si>
  <si>
    <t>*6</t>
  </si>
  <si>
    <t xml:space="preserve">La categoría GL2006 dice: "Residencial", sin embargo, para el INGEI 2012 -debido a la información del nivel de actividad  en Perú (BNE)- se considera esta categoría como: "Residencial / Comercial" </t>
  </si>
  <si>
    <t>*7</t>
  </si>
  <si>
    <t>La categoría GL2006 dice para 1A4c: "Agricultura/Silvicultura/Pesca/Piscifactorías"; sin embargo -debido a la importancia del sector en el Perú- se ha considerado sólo como Agricultura, que en las estadísticas nacionales figura como "Agropecuario y agroindustrial"</t>
  </si>
  <si>
    <t>*8</t>
  </si>
  <si>
    <t>Esta categoría no figura en las GL2006, fue creada considerando la importancia del sector Pesca para el Perú. Considerando la clasificación de las GL2006 esta categoría INGEI pertenecería a 1A4c.</t>
  </si>
  <si>
    <t>Público</t>
  </si>
  <si>
    <r>
      <t>1A4a</t>
    </r>
    <r>
      <rPr>
        <vertAlign val="superscript"/>
        <sz val="9"/>
        <color rgb="FFFF0000"/>
        <rFont val="Arial"/>
        <family val="2"/>
      </rPr>
      <t>5*</t>
    </r>
  </si>
  <si>
    <t>URBANA</t>
  </si>
  <si>
    <t>FUENTES</t>
  </si>
  <si>
    <t>Electricidad</t>
  </si>
  <si>
    <t>GLP</t>
  </si>
  <si>
    <t>Gasohol</t>
  </si>
  <si>
    <t>Leña</t>
  </si>
  <si>
    <t>Turbo</t>
  </si>
  <si>
    <t>Solar</t>
  </si>
  <si>
    <t>Gasolina</t>
  </si>
  <si>
    <t>Diésel</t>
  </si>
  <si>
    <t>Total</t>
  </si>
  <si>
    <t>USOS</t>
  </si>
  <si>
    <t>Iluminación</t>
  </si>
  <si>
    <t>Cocción de alimentos</t>
  </si>
  <si>
    <t>Conservación de Alimentos</t>
  </si>
  <si>
    <t>Calentamiento de Agua</t>
  </si>
  <si>
    <t>Calefacción Ambiental</t>
  </si>
  <si>
    <t>Aire Acondicionado</t>
  </si>
  <si>
    <t>Ventilación Ambiental</t>
  </si>
  <si>
    <t>Equipo para Bombeo de Agua</t>
  </si>
  <si>
    <t>Fuerza Motriz de Proceso</t>
  </si>
  <si>
    <t>Artefactos Diversos</t>
  </si>
  <si>
    <t>MWh/TJ</t>
  </si>
  <si>
    <t>MWh</t>
  </si>
  <si>
    <r>
      <t xml:space="preserve">ENERGÍA NETA </t>
    </r>
    <r>
      <rPr>
        <sz val="10"/>
        <color rgb="FF365F91"/>
        <rFont val="Garamond"/>
        <family val="1"/>
      </rPr>
      <t>(TJ)</t>
    </r>
  </si>
  <si>
    <t>Total (TJ)</t>
  </si>
  <si>
    <t>Total BNE (TJ)</t>
  </si>
  <si>
    <t>Año</t>
  </si>
  <si>
    <t>FE simple</t>
  </si>
  <si>
    <r>
      <rPr>
        <sz val="11"/>
        <color rgb="FFFF0000"/>
        <rFont val="Garamond"/>
        <family val="1"/>
      </rPr>
      <t>*</t>
    </r>
    <r>
      <rPr>
        <sz val="11"/>
        <color theme="1"/>
        <rFont val="Garamond"/>
        <family val="1"/>
      </rPr>
      <t xml:space="preserve"> Fuente: Proyecto Chaglla: www.cdm.unfccc.int/Projects/DB/TUEV-RHEIN1356246622.02/view</t>
    </r>
  </si>
  <si>
    <t>CO2</t>
  </si>
  <si>
    <t>CH4</t>
  </si>
  <si>
    <t>N2O</t>
  </si>
  <si>
    <t>kgCO2e/TJ</t>
  </si>
  <si>
    <t>Emisiones CO2 t</t>
  </si>
  <si>
    <t>NACIONAL</t>
  </si>
  <si>
    <t>RURAL</t>
  </si>
  <si>
    <r>
      <t xml:space="preserve">Emisiones de GEI </t>
    </r>
    <r>
      <rPr>
        <sz val="10"/>
        <color rgb="FF0070C0"/>
        <rFont val="Garamond"/>
        <family val="1"/>
      </rPr>
      <t>[tCO</t>
    </r>
    <r>
      <rPr>
        <vertAlign val="subscript"/>
        <sz val="10"/>
        <color rgb="FF0070C0"/>
        <rFont val="Garamond"/>
        <family val="1"/>
      </rPr>
      <t>2</t>
    </r>
    <r>
      <rPr>
        <sz val="10"/>
        <color rgb="FF0070C0"/>
        <rFont val="Garamond"/>
        <family val="1"/>
      </rPr>
      <t>e]</t>
    </r>
  </si>
  <si>
    <r>
      <rPr>
        <sz val="10"/>
        <color rgb="FF0070C0"/>
        <rFont val="Garamond"/>
        <family val="1"/>
      </rPr>
      <t>[GgCO</t>
    </r>
    <r>
      <rPr>
        <vertAlign val="subscript"/>
        <sz val="10"/>
        <color rgb="FF0070C0"/>
        <rFont val="Garamond"/>
        <family val="1"/>
      </rPr>
      <t>2</t>
    </r>
    <r>
      <rPr>
        <sz val="10"/>
        <color rgb="FF0070C0"/>
        <rFont val="Garamond"/>
        <family val="1"/>
      </rPr>
      <t>e]</t>
    </r>
  </si>
  <si>
    <r>
      <t></t>
    </r>
    <r>
      <rPr>
        <sz val="10"/>
        <color theme="1"/>
        <rFont val="Wingdings 3"/>
        <family val="1"/>
        <charset val="2"/>
      </rPr>
      <t></t>
    </r>
    <r>
      <rPr>
        <sz val="10"/>
        <color theme="1"/>
        <rFont val="Garamond"/>
        <family val="1"/>
      </rPr>
      <t xml:space="preserve"> 15%</t>
    </r>
  </si>
  <si>
    <r>
      <t></t>
    </r>
    <r>
      <rPr>
        <sz val="10"/>
        <color theme="1"/>
        <rFont val="Wingdings 3"/>
        <family val="1"/>
        <charset val="2"/>
      </rPr>
      <t></t>
    </r>
    <r>
      <rPr>
        <sz val="10"/>
        <color theme="1"/>
        <rFont val="Garamond"/>
        <family val="1"/>
      </rPr>
      <t xml:space="preserve"> 25%</t>
    </r>
  </si>
  <si>
    <t>BAU</t>
  </si>
  <si>
    <r>
      <t>Auditorías - Público</t>
    </r>
    <r>
      <rPr>
        <sz val="10"/>
        <color rgb="FF0070C0"/>
        <rFont val="Garamond"/>
        <family val="1"/>
      </rPr>
      <t xml:space="preserve"> [GgCO</t>
    </r>
    <r>
      <rPr>
        <vertAlign val="subscript"/>
        <sz val="10"/>
        <color rgb="FF0070C0"/>
        <rFont val="Garamond"/>
        <family val="1"/>
      </rPr>
      <t>2</t>
    </r>
    <r>
      <rPr>
        <sz val="10"/>
        <color rgb="FF0070C0"/>
        <rFont val="Garamond"/>
        <family val="1"/>
      </rPr>
      <t>e]</t>
    </r>
  </si>
  <si>
    <t>Factores de conversión y de emisión</t>
  </si>
  <si>
    <r>
      <t>Auditorías -Público</t>
    </r>
    <r>
      <rPr>
        <sz val="10"/>
        <color rgb="FF0070C0"/>
        <rFont val="Garamond"/>
        <family val="1"/>
      </rPr>
      <t xml:space="preserve"> </t>
    </r>
    <r>
      <rPr>
        <sz val="10"/>
        <rFont val="Garamond"/>
        <family val="1"/>
      </rPr>
      <t xml:space="preserve">Real (R.M. 186-2016) </t>
    </r>
    <r>
      <rPr>
        <sz val="10"/>
        <color rgb="FF0070C0"/>
        <rFont val="Garamond"/>
        <family val="1"/>
      </rPr>
      <t>[GgCO</t>
    </r>
    <r>
      <rPr>
        <vertAlign val="subscript"/>
        <sz val="10"/>
        <color rgb="FF0070C0"/>
        <rFont val="Garamond"/>
        <family val="1"/>
      </rPr>
      <t>2</t>
    </r>
    <r>
      <rPr>
        <sz val="10"/>
        <color rgb="FF0070C0"/>
        <rFont val="Garamond"/>
        <family val="1"/>
      </rPr>
      <t>e]</t>
    </r>
  </si>
  <si>
    <t>(solo referencial)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</si>
</sst>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S_/_._-;\-* #,##0.00\ _S_/_._-;_-* &quot;-&quot;??\ _S_/_._-;_-@_-"/>
    <numFmt numFmtId="164" formatCode="_-* #,##0.00\ _€_-;\-* #,##0.00\ _€_-;_-* &quot;-&quot;??\ _€_-;_-@_-"/>
    <numFmt numFmtId="166" formatCode="#,##0.0"/>
  </numFmts>
  <fonts count="5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vertAlign val="subscript"/>
      <sz val="9"/>
      <name val="Arial"/>
      <family val="2"/>
    </font>
    <font>
      <b/>
      <sz val="10.5"/>
      <name val="Arial"/>
      <family val="2"/>
    </font>
    <font>
      <b/>
      <sz val="10"/>
      <color theme="9" tint="-0.499984740745262"/>
      <name val="Arial"/>
      <family val="2"/>
    </font>
    <font>
      <sz val="9"/>
      <color theme="9" tint="-0.249977111117893"/>
      <name val="Arial"/>
      <family val="2"/>
    </font>
    <font>
      <b/>
      <sz val="9"/>
      <color theme="9" tint="-0.249977111117893"/>
      <name val="Arial"/>
      <family val="2"/>
    </font>
    <font>
      <i/>
      <sz val="9"/>
      <color rgb="FF000000"/>
      <name val="Times New Roman"/>
      <family val="1"/>
    </font>
    <font>
      <vertAlign val="superscript"/>
      <sz val="11"/>
      <color rgb="FFFF0000"/>
      <name val="Arial"/>
      <family val="2"/>
    </font>
    <font>
      <sz val="9"/>
      <color theme="1"/>
      <name val="Calibri"/>
      <family val="2"/>
    </font>
    <font>
      <i/>
      <sz val="10"/>
      <color theme="1"/>
      <name val="Times New Roman"/>
      <family val="1"/>
    </font>
    <font>
      <sz val="11"/>
      <color rgb="FFFF0000"/>
      <name val="Arial"/>
      <family val="2"/>
    </font>
    <font>
      <b/>
      <sz val="10"/>
      <color rgb="FF404F21"/>
      <name val="Arial"/>
      <family val="2"/>
    </font>
    <font>
      <b/>
      <sz val="9"/>
      <color rgb="FF00B050"/>
      <name val="Arial"/>
      <family val="2"/>
    </font>
    <font>
      <b/>
      <sz val="10"/>
      <color rgb="FF002060"/>
      <name val="Arial"/>
      <family val="2"/>
    </font>
    <font>
      <b/>
      <sz val="10"/>
      <color theme="3" tint="-0.249977111117893"/>
      <name val="Arial"/>
      <family val="2"/>
    </font>
    <font>
      <sz val="9"/>
      <color rgb="FF002060"/>
      <name val="Arial"/>
      <family val="2"/>
    </font>
    <font>
      <b/>
      <sz val="10"/>
      <color theme="8" tint="-0.499984740745262"/>
      <name val="Arial"/>
      <family val="2"/>
    </font>
    <font>
      <b/>
      <sz val="10"/>
      <color rgb="FF0070C0"/>
      <name val="Arial"/>
      <family val="2"/>
    </font>
    <font>
      <sz val="9"/>
      <color theme="8" tint="-0.499984740745262"/>
      <name val="Arial"/>
      <family val="2"/>
    </font>
    <font>
      <sz val="9"/>
      <color theme="8" tint="-0.249977111117893"/>
      <name val="Arial"/>
      <family val="2"/>
    </font>
    <font>
      <sz val="9"/>
      <color rgb="FFFF0000"/>
      <name val="Arial"/>
      <family val="2"/>
    </font>
    <font>
      <sz val="10"/>
      <color theme="7" tint="-0.499984740745262"/>
      <name val="Arial"/>
      <family val="2"/>
    </font>
    <font>
      <b/>
      <sz val="10"/>
      <color rgb="FF745892"/>
      <name val="Arial"/>
      <family val="2"/>
    </font>
    <font>
      <b/>
      <sz val="10"/>
      <color theme="7" tint="-0.499984740745262"/>
      <name val="Arial"/>
      <family val="2"/>
    </font>
    <font>
      <sz val="9"/>
      <color theme="7" tint="-0.499984740745262"/>
      <name val="Arial"/>
      <family val="2"/>
    </font>
    <font>
      <sz val="9"/>
      <color rgb="FF7030A0"/>
      <name val="Arial"/>
      <family val="2"/>
    </font>
    <font>
      <u/>
      <sz val="9"/>
      <color theme="1"/>
      <name val="Arial"/>
      <family val="2"/>
    </font>
    <font>
      <vertAlign val="superscript"/>
      <sz val="9"/>
      <color rgb="FFFF0000"/>
      <name val="Arial"/>
      <family val="2"/>
    </font>
    <font>
      <sz val="10"/>
      <color theme="1"/>
      <name val="Garamond"/>
      <family val="1"/>
    </font>
    <font>
      <b/>
      <sz val="10"/>
      <color rgb="FF365F91"/>
      <name val="Garamond"/>
      <family val="1"/>
    </font>
    <font>
      <sz val="10"/>
      <color rgb="FF365F91"/>
      <name val="Garamond"/>
      <family val="1"/>
    </font>
    <font>
      <sz val="10"/>
      <color theme="4" tint="-0.249977111117893"/>
      <name val="Garamond"/>
      <family val="1"/>
    </font>
    <font>
      <sz val="11"/>
      <color theme="1"/>
      <name val="Garamond"/>
      <family val="1"/>
    </font>
    <font>
      <sz val="11"/>
      <color rgb="FFFF0000"/>
      <name val="Garamond"/>
      <family val="1"/>
    </font>
    <font>
      <sz val="11"/>
      <color rgb="FF000000"/>
      <name val="Garamond"/>
      <family val="1"/>
    </font>
    <font>
      <sz val="11"/>
      <color theme="0" tint="-0.14999847407452621"/>
      <name val="Garamond"/>
      <family val="1"/>
    </font>
    <font>
      <b/>
      <sz val="7"/>
      <color rgb="FF365F91"/>
      <name val="Arial"/>
      <family val="2"/>
    </font>
    <font>
      <sz val="7"/>
      <color rgb="FF365F91"/>
      <name val="Arial"/>
      <family val="2"/>
    </font>
    <font>
      <sz val="7"/>
      <color theme="4" tint="-0.249977111117893"/>
      <name val="Arial"/>
      <family val="2"/>
    </font>
    <font>
      <sz val="7"/>
      <color theme="4" tint="-0.249977111117893"/>
      <name val="Times New Roman"/>
      <family val="1"/>
    </font>
    <font>
      <sz val="10"/>
      <color theme="1"/>
      <name val="Calibri"/>
      <family val="2"/>
      <scheme val="minor"/>
    </font>
    <font>
      <sz val="10"/>
      <name val="Garamond"/>
      <family val="1"/>
    </font>
    <font>
      <sz val="10"/>
      <color theme="0" tint="-0.249977111117893"/>
      <name val="Garamond"/>
      <family val="1"/>
    </font>
    <font>
      <sz val="10"/>
      <color rgb="FF0070C0"/>
      <name val="Garamond"/>
      <family val="1"/>
    </font>
    <font>
      <vertAlign val="subscript"/>
      <sz val="10"/>
      <color rgb="FF0070C0"/>
      <name val="Garamond"/>
      <family val="1"/>
    </font>
    <font>
      <sz val="10"/>
      <color theme="1"/>
      <name val="Wingdings 3"/>
      <family val="1"/>
      <charset val="2"/>
    </font>
    <font>
      <b/>
      <u/>
      <sz val="10"/>
      <color theme="1"/>
      <name val="Garamond"/>
      <family val="1"/>
    </font>
  </fonts>
  <fills count="1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B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AE8AA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3DFEE"/>
        <bgColor indexed="64"/>
      </patternFill>
    </fill>
    <fill>
      <patternFill patternType="solid">
        <fgColor rgb="FFFCFDC3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FFFF66"/>
      </right>
      <top style="thin">
        <color indexed="64"/>
      </top>
      <bottom style="thin">
        <color rgb="FFFFFF66"/>
      </bottom>
      <diagonal/>
    </border>
    <border>
      <left style="thin">
        <color rgb="FFFFFF66"/>
      </left>
      <right style="thin">
        <color rgb="FFFFFF66"/>
      </right>
      <top style="thin">
        <color indexed="64"/>
      </top>
      <bottom style="thin">
        <color rgb="FFFFFF66"/>
      </bottom>
      <diagonal/>
    </border>
    <border>
      <left style="thin">
        <color rgb="FFFFFF66"/>
      </left>
      <right style="thin">
        <color indexed="64"/>
      </right>
      <top style="thin">
        <color indexed="64"/>
      </top>
      <bottom style="thin">
        <color rgb="FFFFFF66"/>
      </bottom>
      <diagonal/>
    </border>
    <border>
      <left style="thin">
        <color indexed="64"/>
      </left>
      <right style="thin">
        <color rgb="FFFFFF66"/>
      </right>
      <top style="thin">
        <color rgb="FFFFFF66"/>
      </top>
      <bottom style="thin">
        <color rgb="FFFFFF66"/>
      </bottom>
      <diagonal/>
    </border>
    <border>
      <left style="thin">
        <color rgb="FFFFFF66"/>
      </left>
      <right style="thin">
        <color rgb="FFFFFF66"/>
      </right>
      <top style="thin">
        <color rgb="FFFFFF66"/>
      </top>
      <bottom style="thin">
        <color rgb="FFFFFF66"/>
      </bottom>
      <diagonal/>
    </border>
    <border>
      <left style="thin">
        <color rgb="FFFFFF66"/>
      </left>
      <right style="thin">
        <color indexed="64"/>
      </right>
      <top style="thin">
        <color rgb="FFFFFF66"/>
      </top>
      <bottom style="thin">
        <color rgb="FFFFFF66"/>
      </bottom>
      <diagonal/>
    </border>
    <border>
      <left/>
      <right style="thin">
        <color indexed="64"/>
      </right>
      <top/>
      <bottom style="medium">
        <color rgb="FFFFFF99"/>
      </bottom>
      <diagonal/>
    </border>
    <border>
      <left/>
      <right style="medium">
        <color rgb="FFFFFF99"/>
      </right>
      <top/>
      <bottom style="medium">
        <color rgb="FFFFFF99"/>
      </bottom>
      <diagonal/>
    </border>
    <border>
      <left style="thin">
        <color indexed="64"/>
      </left>
      <right style="thin">
        <color rgb="FFFFFF66"/>
      </right>
      <top style="thin">
        <color rgb="FFFFFF66"/>
      </top>
      <bottom/>
      <diagonal/>
    </border>
    <border>
      <left style="thin">
        <color rgb="FFFFFF66"/>
      </left>
      <right style="thin">
        <color rgb="FFFFFF66"/>
      </right>
      <top style="thin">
        <color rgb="FFFFFF66"/>
      </top>
      <bottom/>
      <diagonal/>
    </border>
    <border>
      <left style="thin">
        <color rgb="FFFFFF66"/>
      </left>
      <right style="thin">
        <color indexed="64"/>
      </right>
      <top style="thin">
        <color rgb="FFFFFF66"/>
      </top>
      <bottom/>
      <diagonal/>
    </border>
    <border>
      <left style="thin">
        <color indexed="64"/>
      </left>
      <right style="thin">
        <color theme="6" tint="-0.24994659260841701"/>
      </right>
      <top style="thin">
        <color indexed="64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indexed="64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indexed="64"/>
      </right>
      <top style="thin">
        <color indexed="64"/>
      </top>
      <bottom style="thin">
        <color theme="6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indexed="64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6" tint="-0.24994659260841701"/>
      </right>
      <top style="thin">
        <color theme="6" tint="-0.24994659260841701"/>
      </top>
      <bottom style="thin">
        <color indexed="64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indexed="64"/>
      </bottom>
      <diagonal/>
    </border>
    <border>
      <left style="thin">
        <color theme="6" tint="-0.24994659260841701"/>
      </left>
      <right style="thin">
        <color indexed="64"/>
      </right>
      <top style="thin">
        <color theme="6" tint="-0.24994659260841701"/>
      </top>
      <bottom style="thin">
        <color indexed="64"/>
      </bottom>
      <diagonal/>
    </border>
    <border>
      <left style="thin">
        <color auto="1"/>
      </left>
      <right style="thin">
        <color theme="4" tint="0.39994506668294322"/>
      </right>
      <top style="thin">
        <color indexed="64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indexed="64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indexed="64"/>
      </right>
      <top style="thin">
        <color indexed="64"/>
      </top>
      <bottom style="thin">
        <color theme="4" tint="0.399945066682943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indexed="64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7" tint="0.39994506668294322"/>
      </right>
      <top style="thin">
        <color indexed="64"/>
      </top>
      <bottom style="thin">
        <color theme="7" tint="0.39994506668294322"/>
      </bottom>
      <diagonal/>
    </border>
    <border>
      <left style="thin">
        <color theme="7" tint="0.39994506668294322"/>
      </left>
      <right style="thin">
        <color theme="7" tint="0.39994506668294322"/>
      </right>
      <top style="thin">
        <color indexed="64"/>
      </top>
      <bottom style="thin">
        <color theme="7" tint="0.39994506668294322"/>
      </bottom>
      <diagonal/>
    </border>
    <border>
      <left style="thin">
        <color theme="7" tint="0.39994506668294322"/>
      </left>
      <right style="thin">
        <color indexed="64"/>
      </right>
      <top style="thin">
        <color indexed="64"/>
      </top>
      <bottom style="thin">
        <color theme="7" tint="0.39994506668294322"/>
      </bottom>
      <diagonal/>
    </border>
    <border>
      <left style="thin">
        <color indexed="64"/>
      </left>
      <right style="thin">
        <color theme="7" tint="0.39994506668294322"/>
      </right>
      <top style="thin">
        <color theme="7" tint="0.39994506668294322"/>
      </top>
      <bottom style="thin">
        <color theme="7" tint="0.39994506668294322"/>
      </bottom>
      <diagonal/>
    </border>
    <border>
      <left style="thin">
        <color theme="7" tint="0.39994506668294322"/>
      </left>
      <right style="thin">
        <color theme="7" tint="0.39994506668294322"/>
      </right>
      <top style="thin">
        <color theme="7" tint="0.39994506668294322"/>
      </top>
      <bottom style="thin">
        <color theme="7" tint="0.39994506668294322"/>
      </bottom>
      <diagonal/>
    </border>
    <border>
      <left style="thin">
        <color theme="7" tint="0.39994506668294322"/>
      </left>
      <right style="thin">
        <color indexed="64"/>
      </right>
      <top style="thin">
        <color theme="7" tint="0.39994506668294322"/>
      </top>
      <bottom style="thin">
        <color theme="7" tint="0.39994506668294322"/>
      </bottom>
      <diagonal/>
    </border>
    <border>
      <left style="thin">
        <color indexed="64"/>
      </left>
      <right style="thin">
        <color theme="7" tint="0.39994506668294322"/>
      </right>
      <top style="thin">
        <color theme="7" tint="0.39994506668294322"/>
      </top>
      <bottom/>
      <diagonal/>
    </border>
    <border>
      <left style="thin">
        <color theme="7" tint="0.39994506668294322"/>
      </left>
      <right style="thin">
        <color theme="7" tint="0.39994506668294322"/>
      </right>
      <top style="thin">
        <color theme="7" tint="0.39994506668294322"/>
      </top>
      <bottom/>
      <diagonal/>
    </border>
    <border>
      <left style="thin">
        <color theme="7" tint="0.39994506668294322"/>
      </left>
      <right style="thin">
        <color indexed="64"/>
      </right>
      <top style="thin">
        <color theme="7" tint="0.39994506668294322"/>
      </top>
      <bottom/>
      <diagonal/>
    </border>
    <border>
      <left style="thin">
        <color indexed="64"/>
      </left>
      <right style="thin">
        <color theme="7" tint="0.39994506668294322"/>
      </right>
      <top style="thin">
        <color theme="7" tint="0.39994506668294322"/>
      </top>
      <bottom style="thin">
        <color indexed="64"/>
      </bottom>
      <diagonal/>
    </border>
    <border>
      <left style="thin">
        <color theme="7" tint="0.39994506668294322"/>
      </left>
      <right style="thin">
        <color theme="7" tint="0.39994506668294322"/>
      </right>
      <top style="thin">
        <color theme="7" tint="0.39994506668294322"/>
      </top>
      <bottom style="thin">
        <color indexed="64"/>
      </bottom>
      <diagonal/>
    </border>
    <border>
      <left style="thin">
        <color theme="7" tint="0.39994506668294322"/>
      </left>
      <right style="thin">
        <color indexed="64"/>
      </right>
      <top style="thin">
        <color theme="7" tint="0.39994506668294322"/>
      </top>
      <bottom style="thin">
        <color indexed="64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 style="medium">
        <color rgb="FF4F81BD"/>
      </top>
      <bottom/>
      <diagonal/>
    </border>
    <border>
      <left/>
      <right/>
      <top/>
      <bottom style="medium">
        <color rgb="FF4F81BD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78">
    <xf numFmtId="0" fontId="0" fillId="0" borderId="0" xfId="0"/>
    <xf numFmtId="0" fontId="4" fillId="2" borderId="0" xfId="0" applyFont="1" applyFill="1"/>
    <xf numFmtId="0" fontId="5" fillId="2" borderId="0" xfId="0" applyFont="1" applyFill="1"/>
    <xf numFmtId="0" fontId="5" fillId="0" borderId="0" xfId="0" applyFont="1"/>
    <xf numFmtId="0" fontId="4" fillId="3" borderId="0" xfId="0" applyFont="1" applyFill="1"/>
    <xf numFmtId="0" fontId="5" fillId="3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4" fontId="9" fillId="0" borderId="1" xfId="1" applyFont="1" applyBorder="1" applyAlignment="1">
      <alignment horizontal="right" vertical="center"/>
    </xf>
    <xf numFmtId="10" fontId="5" fillId="0" borderId="0" xfId="2" applyNumberFormat="1" applyFont="1"/>
    <xf numFmtId="0" fontId="10" fillId="5" borderId="2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0" fillId="5" borderId="4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vertical="center" wrapText="1"/>
    </xf>
    <xf numFmtId="164" fontId="10" fillId="5" borderId="1" xfId="1" applyFont="1" applyFill="1" applyBorder="1" applyAlignment="1">
      <alignment horizontal="right" vertical="center"/>
    </xf>
    <xf numFmtId="10" fontId="3" fillId="0" borderId="0" xfId="2" applyNumberFormat="1" applyFont="1"/>
    <xf numFmtId="0" fontId="7" fillId="5" borderId="5" xfId="0" applyFont="1" applyFill="1" applyBorder="1" applyAlignment="1">
      <alignment vertical="center" wrapText="1"/>
    </xf>
    <xf numFmtId="0" fontId="11" fillId="5" borderId="6" xfId="0" applyFont="1" applyFill="1" applyBorder="1" applyAlignment="1">
      <alignment vertical="center" wrapText="1"/>
    </xf>
    <xf numFmtId="0" fontId="11" fillId="5" borderId="7" xfId="0" applyFont="1" applyFill="1" applyBorder="1" applyAlignment="1">
      <alignment vertical="center" wrapText="1"/>
    </xf>
    <xf numFmtId="0" fontId="12" fillId="5" borderId="1" xfId="0" applyFont="1" applyFill="1" applyBorder="1" applyAlignment="1">
      <alignment horizontal="justify" vertical="center" wrapText="1"/>
    </xf>
    <xf numFmtId="164" fontId="12" fillId="0" borderId="1" xfId="1" applyFont="1" applyBorder="1" applyAlignment="1">
      <alignment horizontal="right" vertical="center"/>
    </xf>
    <xf numFmtId="164" fontId="5" fillId="0" borderId="0" xfId="0" applyNumberFormat="1" applyFont="1"/>
    <xf numFmtId="0" fontId="7" fillId="5" borderId="6" xfId="0" applyFont="1" applyFill="1" applyBorder="1" applyAlignment="1">
      <alignment vertical="center" wrapText="1"/>
    </xf>
    <xf numFmtId="0" fontId="6" fillId="5" borderId="6" xfId="0" applyFont="1" applyFill="1" applyBorder="1" applyAlignment="1">
      <alignment vertical="center" wrapText="1"/>
    </xf>
    <xf numFmtId="0" fontId="6" fillId="5" borderId="7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left" vertical="center" wrapText="1"/>
    </xf>
    <xf numFmtId="164" fontId="6" fillId="0" borderId="1" xfId="1" applyFont="1" applyBorder="1" applyAlignment="1">
      <alignment horizontal="right" vertical="center"/>
    </xf>
    <xf numFmtId="0" fontId="7" fillId="5" borderId="7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left" vertical="center" wrapText="1"/>
    </xf>
    <xf numFmtId="164" fontId="7" fillId="0" borderId="1" xfId="1" applyFont="1" applyBorder="1" applyAlignment="1">
      <alignment horizontal="right" vertical="center"/>
    </xf>
    <xf numFmtId="10" fontId="5" fillId="0" borderId="0" xfId="0" applyNumberFormat="1" applyFont="1"/>
    <xf numFmtId="0" fontId="5" fillId="5" borderId="8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vertical="center" wrapText="1"/>
    </xf>
    <xf numFmtId="0" fontId="15" fillId="5" borderId="8" xfId="0" applyFont="1" applyFill="1" applyBorder="1" applyAlignment="1">
      <alignment vertical="center" wrapText="1"/>
    </xf>
    <xf numFmtId="10" fontId="5" fillId="0" borderId="0" xfId="2" applyNumberFormat="1" applyFont="1" applyAlignment="1">
      <alignment vertical="center"/>
    </xf>
    <xf numFmtId="164" fontId="5" fillId="6" borderId="1" xfId="1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justify" vertical="center" wrapText="1"/>
    </xf>
    <xf numFmtId="0" fontId="7" fillId="5" borderId="10" xfId="0" applyFont="1" applyFill="1" applyBorder="1" applyAlignment="1">
      <alignment vertical="center" wrapText="1"/>
    </xf>
    <xf numFmtId="0" fontId="7" fillId="5" borderId="11" xfId="0" applyFont="1" applyFill="1" applyBorder="1" applyAlignment="1">
      <alignment vertical="center" wrapText="1"/>
    </xf>
    <xf numFmtId="0" fontId="6" fillId="5" borderId="11" xfId="0" applyFont="1" applyFill="1" applyBorder="1" applyAlignment="1">
      <alignment vertical="center" wrapText="1"/>
    </xf>
    <xf numFmtId="0" fontId="6" fillId="5" borderId="12" xfId="0" applyFont="1" applyFill="1" applyBorder="1" applyAlignment="1">
      <alignment vertical="center" wrapText="1"/>
    </xf>
    <xf numFmtId="0" fontId="18" fillId="7" borderId="13" xfId="0" applyFont="1" applyFill="1" applyBorder="1" applyAlignment="1">
      <alignment vertical="center" wrapText="1"/>
    </xf>
    <xf numFmtId="0" fontId="18" fillId="7" borderId="14" xfId="0" applyFont="1" applyFill="1" applyBorder="1" applyAlignment="1">
      <alignment vertical="center" wrapText="1"/>
    </xf>
    <xf numFmtId="0" fontId="18" fillId="7" borderId="15" xfId="0" applyFont="1" applyFill="1" applyBorder="1" applyAlignment="1">
      <alignment vertical="center" wrapText="1"/>
    </xf>
    <xf numFmtId="0" fontId="18" fillId="7" borderId="16" xfId="0" applyFont="1" applyFill="1" applyBorder="1" applyAlignment="1">
      <alignment horizontal="justify" vertical="center" wrapText="1"/>
    </xf>
    <xf numFmtId="164" fontId="18" fillId="7" borderId="1" xfId="1" applyFont="1" applyFill="1" applyBorder="1" applyAlignment="1">
      <alignment horizontal="right" vertical="center"/>
    </xf>
    <xf numFmtId="0" fontId="5" fillId="7" borderId="17" xfId="0" applyFont="1" applyFill="1" applyBorder="1" applyAlignment="1">
      <alignment horizontal="center" vertical="center" wrapText="1"/>
    </xf>
    <xf numFmtId="0" fontId="19" fillId="7" borderId="18" xfId="0" applyFont="1" applyFill="1" applyBorder="1" applyAlignment="1">
      <alignment horizontal="center" vertical="center" wrapText="1"/>
    </xf>
    <xf numFmtId="0" fontId="5" fillId="7" borderId="18" xfId="0" applyFont="1" applyFill="1" applyBorder="1" applyAlignment="1">
      <alignment horizontal="center" vertical="center" wrapText="1"/>
    </xf>
    <xf numFmtId="0" fontId="5" fillId="7" borderId="19" xfId="0" applyFont="1" applyFill="1" applyBorder="1" applyAlignment="1">
      <alignment horizontal="center" vertical="center" wrapText="1"/>
    </xf>
    <xf numFmtId="0" fontId="19" fillId="7" borderId="16" xfId="0" applyFont="1" applyFill="1" applyBorder="1"/>
    <xf numFmtId="164" fontId="19" fillId="0" borderId="1" xfId="1" applyFont="1" applyBorder="1" applyAlignment="1">
      <alignment horizontal="right" vertical="center"/>
    </xf>
    <xf numFmtId="0" fontId="4" fillId="7" borderId="18" xfId="0" applyFont="1" applyFill="1" applyBorder="1" applyAlignment="1">
      <alignment horizontal="center" vertical="center" wrapText="1"/>
    </xf>
    <xf numFmtId="0" fontId="4" fillId="7" borderId="19" xfId="0" applyFont="1" applyFill="1" applyBorder="1" applyAlignment="1">
      <alignment horizontal="center" vertical="center" wrapText="1"/>
    </xf>
    <xf numFmtId="0" fontId="5" fillId="7" borderId="20" xfId="0" applyFont="1" applyFill="1" applyBorder="1"/>
    <xf numFmtId="164" fontId="5" fillId="0" borderId="1" xfId="1" applyFont="1" applyBorder="1" applyAlignment="1">
      <alignment horizontal="right" vertical="center"/>
    </xf>
    <xf numFmtId="0" fontId="5" fillId="7" borderId="21" xfId="0" applyFont="1" applyFill="1" applyBorder="1"/>
    <xf numFmtId="0" fontId="5" fillId="7" borderId="22" xfId="0" applyFont="1" applyFill="1" applyBorder="1" applyAlignment="1">
      <alignment horizontal="center" vertical="center" wrapText="1"/>
    </xf>
    <xf numFmtId="0" fontId="5" fillId="7" borderId="23" xfId="0" applyFont="1" applyFill="1" applyBorder="1" applyAlignment="1">
      <alignment horizontal="center" vertical="center" wrapText="1"/>
    </xf>
    <xf numFmtId="0" fontId="5" fillId="7" borderId="24" xfId="0" applyFont="1" applyFill="1" applyBorder="1" applyAlignment="1">
      <alignment horizontal="center" vertical="center" wrapText="1"/>
    </xf>
    <xf numFmtId="0" fontId="20" fillId="2" borderId="25" xfId="0" applyFont="1" applyFill="1" applyBorder="1" applyAlignment="1">
      <alignment horizontal="center" vertical="center"/>
    </xf>
    <xf numFmtId="0" fontId="20" fillId="2" borderId="26" xfId="0" applyFont="1" applyFill="1" applyBorder="1" applyAlignment="1">
      <alignment horizontal="center" vertical="center"/>
    </xf>
    <xf numFmtId="0" fontId="20" fillId="2" borderId="27" xfId="0" applyFont="1" applyFill="1" applyBorder="1" applyAlignment="1">
      <alignment horizontal="center" vertical="center"/>
    </xf>
    <xf numFmtId="0" fontId="21" fillId="2" borderId="28" xfId="0" applyFont="1" applyFill="1" applyBorder="1" applyAlignment="1">
      <alignment vertical="center"/>
    </xf>
    <xf numFmtId="164" fontId="21" fillId="8" borderId="1" xfId="1" applyFont="1" applyFill="1" applyBorder="1" applyAlignment="1">
      <alignment horizontal="right" vertical="center"/>
    </xf>
    <xf numFmtId="0" fontId="22" fillId="2" borderId="29" xfId="0" applyFont="1" applyFill="1" applyBorder="1" applyAlignment="1">
      <alignment horizontal="center"/>
    </xf>
    <xf numFmtId="0" fontId="22" fillId="2" borderId="30" xfId="0" applyFont="1" applyFill="1" applyBorder="1" applyAlignment="1">
      <alignment horizontal="center"/>
    </xf>
    <xf numFmtId="0" fontId="22" fillId="2" borderId="31" xfId="0" applyFont="1" applyFill="1" applyBorder="1" applyAlignment="1">
      <alignment horizontal="center"/>
    </xf>
    <xf numFmtId="0" fontId="5" fillId="2" borderId="0" xfId="0" applyFont="1" applyFill="1" applyBorder="1"/>
    <xf numFmtId="0" fontId="23" fillId="9" borderId="29" xfId="0" applyFont="1" applyFill="1" applyBorder="1" applyAlignment="1">
      <alignment horizontal="center" vertical="center" wrapText="1"/>
    </xf>
    <xf numFmtId="0" fontId="23" fillId="9" borderId="30" xfId="0" applyFont="1" applyFill="1" applyBorder="1" applyAlignment="1">
      <alignment horizontal="center" vertical="center" wrapText="1"/>
    </xf>
    <xf numFmtId="0" fontId="23" fillId="9" borderId="31" xfId="0" applyFont="1" applyFill="1" applyBorder="1" applyAlignment="1">
      <alignment horizontal="center" vertical="center" wrapText="1"/>
    </xf>
    <xf numFmtId="0" fontId="24" fillId="9" borderId="28" xfId="0" applyFont="1" applyFill="1" applyBorder="1" applyAlignment="1">
      <alignment vertical="center" wrapText="1"/>
    </xf>
    <xf numFmtId="164" fontId="24" fillId="9" borderId="1" xfId="1" applyFont="1" applyFill="1" applyBorder="1" applyAlignment="1">
      <alignment horizontal="right" vertical="center"/>
    </xf>
    <xf numFmtId="0" fontId="25" fillId="9" borderId="29" xfId="0" applyFont="1" applyFill="1" applyBorder="1" applyAlignment="1">
      <alignment horizontal="center"/>
    </xf>
    <xf numFmtId="0" fontId="25" fillId="9" borderId="30" xfId="0" applyFont="1" applyFill="1" applyBorder="1" applyAlignment="1">
      <alignment horizontal="center"/>
    </xf>
    <xf numFmtId="0" fontId="25" fillId="9" borderId="31" xfId="0" applyFont="1" applyFill="1" applyBorder="1" applyAlignment="1">
      <alignment horizontal="center"/>
    </xf>
    <xf numFmtId="0" fontId="26" fillId="9" borderId="1" xfId="0" applyFont="1" applyFill="1" applyBorder="1"/>
    <xf numFmtId="164" fontId="26" fillId="0" borderId="1" xfId="1" applyFont="1" applyBorder="1" applyAlignment="1">
      <alignment horizontal="right" vertical="center"/>
    </xf>
    <xf numFmtId="0" fontId="5" fillId="9" borderId="32" xfId="0" applyFont="1" applyFill="1" applyBorder="1"/>
    <xf numFmtId="0" fontId="5" fillId="9" borderId="28" xfId="0" applyFont="1" applyFill="1" applyBorder="1"/>
    <xf numFmtId="0" fontId="26" fillId="9" borderId="28" xfId="0" applyFont="1" applyFill="1" applyBorder="1"/>
    <xf numFmtId="0" fontId="28" fillId="10" borderId="33" xfId="0" applyFont="1" applyFill="1" applyBorder="1" applyAlignment="1">
      <alignment horizontal="center" vertical="center" wrapText="1"/>
    </xf>
    <xf numFmtId="0" fontId="28" fillId="10" borderId="34" xfId="0" applyFont="1" applyFill="1" applyBorder="1" applyAlignment="1">
      <alignment horizontal="center" vertical="center" wrapText="1"/>
    </xf>
    <xf numFmtId="0" fontId="28" fillId="10" borderId="35" xfId="0" applyFont="1" applyFill="1" applyBorder="1" applyAlignment="1">
      <alignment horizontal="center" vertical="center" wrapText="1"/>
    </xf>
    <xf numFmtId="0" fontId="29" fillId="10" borderId="1" xfId="0" applyFont="1" applyFill="1" applyBorder="1" applyAlignment="1">
      <alignment vertical="center" wrapText="1"/>
    </xf>
    <xf numFmtId="164" fontId="30" fillId="10" borderId="1" xfId="1" applyFont="1" applyFill="1" applyBorder="1" applyAlignment="1">
      <alignment vertical="center" wrapText="1"/>
    </xf>
    <xf numFmtId="0" fontId="31" fillId="10" borderId="36" xfId="0" applyFont="1" applyFill="1" applyBorder="1" applyAlignment="1">
      <alignment horizontal="center" vertical="center" wrapText="1"/>
    </xf>
    <xf numFmtId="0" fontId="31" fillId="10" borderId="37" xfId="0" applyFont="1" applyFill="1" applyBorder="1" applyAlignment="1">
      <alignment horizontal="center" vertical="center" wrapText="1"/>
    </xf>
    <xf numFmtId="0" fontId="31" fillId="10" borderId="38" xfId="0" applyFont="1" applyFill="1" applyBorder="1" applyAlignment="1">
      <alignment horizontal="center" vertical="center" wrapText="1"/>
    </xf>
    <xf numFmtId="0" fontId="32" fillId="10" borderId="1" xfId="0" applyFont="1" applyFill="1" applyBorder="1"/>
    <xf numFmtId="164" fontId="32" fillId="0" borderId="1" xfId="1" applyFont="1" applyBorder="1" applyAlignment="1">
      <alignment horizontal="right" vertical="center"/>
    </xf>
    <xf numFmtId="0" fontId="7" fillId="10" borderId="1" xfId="0" applyFont="1" applyFill="1" applyBorder="1"/>
    <xf numFmtId="0" fontId="5" fillId="10" borderId="1" xfId="0" applyFont="1" applyFill="1" applyBorder="1"/>
    <xf numFmtId="0" fontId="5" fillId="10" borderId="1" xfId="0" applyFont="1" applyFill="1" applyBorder="1" applyAlignment="1">
      <alignment wrapText="1"/>
    </xf>
    <xf numFmtId="164" fontId="5" fillId="3" borderId="1" xfId="1" applyFont="1" applyFill="1" applyBorder="1" applyAlignment="1">
      <alignment horizontal="right" vertical="center"/>
    </xf>
    <xf numFmtId="0" fontId="31" fillId="10" borderId="39" xfId="0" applyFont="1" applyFill="1" applyBorder="1" applyAlignment="1">
      <alignment horizontal="center" vertical="center" wrapText="1"/>
    </xf>
    <xf numFmtId="0" fontId="31" fillId="10" borderId="40" xfId="0" applyFont="1" applyFill="1" applyBorder="1" applyAlignment="1">
      <alignment horizontal="center" vertical="center" wrapText="1"/>
    </xf>
    <xf numFmtId="0" fontId="31" fillId="10" borderId="41" xfId="0" applyFont="1" applyFill="1" applyBorder="1" applyAlignment="1">
      <alignment horizontal="center" vertical="center" wrapText="1"/>
    </xf>
    <xf numFmtId="0" fontId="31" fillId="10" borderId="42" xfId="0" applyFont="1" applyFill="1" applyBorder="1" applyAlignment="1">
      <alignment horizontal="center" vertical="center" wrapText="1"/>
    </xf>
    <xf numFmtId="0" fontId="31" fillId="10" borderId="43" xfId="0" applyFont="1" applyFill="1" applyBorder="1" applyAlignment="1">
      <alignment horizontal="center" vertical="center" wrapText="1"/>
    </xf>
    <xf numFmtId="0" fontId="31" fillId="10" borderId="44" xfId="0" applyFont="1" applyFill="1" applyBorder="1" applyAlignment="1">
      <alignment horizontal="center" vertical="center" wrapText="1"/>
    </xf>
    <xf numFmtId="0" fontId="17" fillId="0" borderId="0" xfId="0" applyFont="1"/>
    <xf numFmtId="0" fontId="5" fillId="3" borderId="0" xfId="3" applyFont="1" applyFill="1"/>
    <xf numFmtId="0" fontId="27" fillId="3" borderId="45" xfId="3" applyFont="1" applyFill="1" applyBorder="1" applyAlignment="1">
      <alignment horizontal="right" vertical="center"/>
    </xf>
    <xf numFmtId="0" fontId="5" fillId="3" borderId="45" xfId="3" applyFont="1" applyFill="1" applyBorder="1"/>
    <xf numFmtId="0" fontId="5" fillId="3" borderId="0" xfId="3" applyFont="1" applyFill="1" applyBorder="1"/>
    <xf numFmtId="0" fontId="27" fillId="3" borderId="46" xfId="3" applyFont="1" applyFill="1" applyBorder="1" applyAlignment="1">
      <alignment horizontal="right" vertical="center"/>
    </xf>
    <xf numFmtId="0" fontId="5" fillId="3" borderId="46" xfId="3" applyFont="1" applyFill="1" applyBorder="1"/>
    <xf numFmtId="0" fontId="27" fillId="3" borderId="47" xfId="3" applyFont="1" applyFill="1" applyBorder="1" applyAlignment="1">
      <alignment horizontal="right" vertical="center"/>
    </xf>
    <xf numFmtId="0" fontId="5" fillId="3" borderId="0" xfId="3" applyFont="1" applyFill="1" applyBorder="1" applyAlignment="1">
      <alignment horizontal="left" vertical="top" wrapText="1"/>
    </xf>
    <xf numFmtId="0" fontId="27" fillId="3" borderId="45" xfId="3" applyFont="1" applyFill="1" applyBorder="1" applyAlignment="1">
      <alignment horizontal="right" vertical="center"/>
    </xf>
    <xf numFmtId="0" fontId="35" fillId="0" borderId="0" xfId="3" applyFont="1"/>
    <xf numFmtId="0" fontId="36" fillId="11" borderId="48" xfId="3" applyFont="1" applyFill="1" applyBorder="1" applyAlignment="1">
      <alignment horizontal="justify" vertical="center" wrapText="1"/>
    </xf>
    <xf numFmtId="0" fontId="36" fillId="11" borderId="48" xfId="3" applyFont="1" applyFill="1" applyBorder="1" applyAlignment="1">
      <alignment horizontal="center" vertical="center" wrapText="1"/>
    </xf>
    <xf numFmtId="0" fontId="36" fillId="11" borderId="0" xfId="3" applyFont="1" applyFill="1" applyAlignment="1">
      <alignment horizontal="center" vertical="center" wrapText="1"/>
    </xf>
    <xf numFmtId="0" fontId="37" fillId="0" borderId="0" xfId="3" applyFont="1" applyAlignment="1">
      <alignment horizontal="center" vertical="center" wrapText="1"/>
    </xf>
    <xf numFmtId="0" fontId="36" fillId="11" borderId="0" xfId="3" applyFont="1" applyFill="1" applyAlignment="1">
      <alignment horizontal="center" vertical="center" textRotation="90" wrapText="1"/>
    </xf>
    <xf numFmtId="0" fontId="37" fillId="11" borderId="0" xfId="3" applyFont="1" applyFill="1" applyAlignment="1">
      <alignment horizontal="left" vertical="center" wrapText="1"/>
    </xf>
    <xf numFmtId="166" fontId="38" fillId="11" borderId="0" xfId="3" applyNumberFormat="1" applyFont="1" applyFill="1" applyAlignment="1">
      <alignment horizontal="center" vertical="center"/>
    </xf>
    <xf numFmtId="0" fontId="37" fillId="0" borderId="0" xfId="3" applyFont="1" applyAlignment="1">
      <alignment horizontal="left" vertical="center" wrapText="1"/>
    </xf>
    <xf numFmtId="166" fontId="38" fillId="0" borderId="0" xfId="3" applyNumberFormat="1" applyFont="1" applyAlignment="1">
      <alignment horizontal="center" vertical="center" wrapText="1"/>
    </xf>
    <xf numFmtId="0" fontId="36" fillId="11" borderId="49" xfId="3" applyFont="1" applyFill="1" applyBorder="1" applyAlignment="1">
      <alignment horizontal="center" vertical="center" textRotation="90" wrapText="1"/>
    </xf>
    <xf numFmtId="0" fontId="37" fillId="11" borderId="50" xfId="3" applyFont="1" applyFill="1" applyBorder="1" applyAlignment="1">
      <alignment horizontal="left" vertical="center" wrapText="1"/>
    </xf>
    <xf numFmtId="166" fontId="38" fillId="11" borderId="50" xfId="3" applyNumberFormat="1" applyFont="1" applyFill="1" applyBorder="1" applyAlignment="1">
      <alignment horizontal="center" vertical="center"/>
    </xf>
    <xf numFmtId="43" fontId="35" fillId="0" borderId="0" xfId="4" applyFont="1"/>
    <xf numFmtId="43" fontId="35" fillId="0" borderId="0" xfId="3" applyNumberFormat="1" applyFont="1"/>
    <xf numFmtId="9" fontId="35" fillId="0" borderId="0" xfId="3" applyNumberFormat="1" applyFont="1"/>
    <xf numFmtId="10" fontId="35" fillId="0" borderId="0" xfId="2" applyNumberFormat="1" applyFont="1"/>
    <xf numFmtId="164" fontId="35" fillId="0" borderId="0" xfId="1" applyFont="1"/>
    <xf numFmtId="0" fontId="39" fillId="0" borderId="0" xfId="0" applyFont="1"/>
    <xf numFmtId="0" fontId="40" fillId="0" borderId="0" xfId="0" applyFont="1"/>
    <xf numFmtId="0" fontId="41" fillId="0" borderId="0" xfId="0" applyFont="1" applyBorder="1" applyAlignment="1">
      <alignment vertical="center" wrapText="1"/>
    </xf>
    <xf numFmtId="10" fontId="39" fillId="0" borderId="0" xfId="2" applyNumberFormat="1" applyFont="1"/>
    <xf numFmtId="0" fontId="41" fillId="0" borderId="0" xfId="0" applyFont="1" applyBorder="1" applyAlignment="1">
      <alignment vertical="center"/>
    </xf>
    <xf numFmtId="0" fontId="42" fillId="0" borderId="0" xfId="0" applyFont="1"/>
    <xf numFmtId="0" fontId="42" fillId="0" borderId="0" xfId="0" applyFont="1" applyBorder="1" applyAlignment="1">
      <alignment vertical="center" wrapText="1"/>
    </xf>
    <xf numFmtId="0" fontId="2" fillId="0" borderId="0" xfId="3" applyFont="1" applyAlignment="1">
      <alignment horizontal="center"/>
    </xf>
    <xf numFmtId="0" fontId="1" fillId="0" borderId="0" xfId="3"/>
    <xf numFmtId="0" fontId="43" fillId="11" borderId="48" xfId="3" applyFont="1" applyFill="1" applyBorder="1" applyAlignment="1">
      <alignment horizontal="justify" vertical="center" wrapText="1"/>
    </xf>
    <xf numFmtId="0" fontId="43" fillId="11" borderId="48" xfId="3" applyFont="1" applyFill="1" applyBorder="1" applyAlignment="1">
      <alignment horizontal="center" vertical="center" wrapText="1"/>
    </xf>
    <xf numFmtId="0" fontId="43" fillId="11" borderId="0" xfId="3" applyFont="1" applyFill="1" applyAlignment="1">
      <alignment horizontal="center" vertical="center" wrapText="1"/>
    </xf>
    <xf numFmtId="0" fontId="44" fillId="0" borderId="0" xfId="3" applyFont="1" applyAlignment="1">
      <alignment horizontal="center" vertical="center" wrapText="1"/>
    </xf>
    <xf numFmtId="0" fontId="43" fillId="11" borderId="0" xfId="3" applyFont="1" applyFill="1" applyAlignment="1">
      <alignment horizontal="center" vertical="center" textRotation="90" wrapText="1"/>
    </xf>
    <xf numFmtId="0" fontId="44" fillId="11" borderId="0" xfId="3" applyFont="1" applyFill="1" applyAlignment="1">
      <alignment horizontal="left" vertical="center" wrapText="1"/>
    </xf>
    <xf numFmtId="166" fontId="45" fillId="11" borderId="0" xfId="3" applyNumberFormat="1" applyFont="1" applyFill="1" applyAlignment="1">
      <alignment horizontal="center" vertical="center"/>
    </xf>
    <xf numFmtId="166" fontId="46" fillId="11" borderId="0" xfId="3" applyNumberFormat="1" applyFont="1" applyFill="1" applyAlignment="1">
      <alignment horizontal="center" vertical="center"/>
    </xf>
    <xf numFmtId="0" fontId="44" fillId="0" borderId="0" xfId="3" applyFont="1" applyAlignment="1">
      <alignment horizontal="left" vertical="center" wrapText="1"/>
    </xf>
    <xf numFmtId="166" fontId="45" fillId="0" borderId="0" xfId="3" applyNumberFormat="1" applyFont="1" applyAlignment="1">
      <alignment horizontal="center" vertical="center" wrapText="1"/>
    </xf>
    <xf numFmtId="0" fontId="43" fillId="11" borderId="49" xfId="3" applyFont="1" applyFill="1" applyBorder="1" applyAlignment="1">
      <alignment horizontal="center" vertical="center" textRotation="90" wrapText="1"/>
    </xf>
    <xf numFmtId="0" fontId="44" fillId="11" borderId="50" xfId="3" applyFont="1" applyFill="1" applyBorder="1" applyAlignment="1">
      <alignment horizontal="left" vertical="center" wrapText="1"/>
    </xf>
    <xf numFmtId="166" fontId="45" fillId="11" borderId="50" xfId="3" applyNumberFormat="1" applyFont="1" applyFill="1" applyBorder="1" applyAlignment="1">
      <alignment horizontal="center" vertical="center"/>
    </xf>
    <xf numFmtId="166" fontId="46" fillId="11" borderId="50" xfId="3" applyNumberFormat="1" applyFont="1" applyFill="1" applyBorder="1" applyAlignment="1">
      <alignment horizontal="center" vertical="center"/>
    </xf>
    <xf numFmtId="9" fontId="1" fillId="0" borderId="0" xfId="3" applyNumberFormat="1"/>
    <xf numFmtId="164" fontId="47" fillId="0" borderId="0" xfId="1" applyFont="1"/>
    <xf numFmtId="0" fontId="49" fillId="3" borderId="50" xfId="3" applyFont="1" applyFill="1" applyBorder="1" applyAlignment="1">
      <alignment horizontal="left" vertical="center" wrapText="1"/>
    </xf>
    <xf numFmtId="164" fontId="49" fillId="3" borderId="0" xfId="1" applyFont="1" applyFill="1"/>
    <xf numFmtId="43" fontId="49" fillId="3" borderId="0" xfId="3" applyNumberFormat="1" applyFont="1" applyFill="1"/>
    <xf numFmtId="0" fontId="39" fillId="0" borderId="0" xfId="3" applyFont="1"/>
    <xf numFmtId="0" fontId="53" fillId="0" borderId="0" xfId="3" applyFont="1"/>
    <xf numFmtId="0" fontId="35" fillId="0" borderId="1" xfId="3" applyFont="1" applyBorder="1"/>
    <xf numFmtId="43" fontId="35" fillId="0" borderId="1" xfId="4" applyFont="1" applyBorder="1"/>
    <xf numFmtId="0" fontId="35" fillId="0" borderId="52" xfId="3" applyFont="1" applyBorder="1"/>
    <xf numFmtId="43" fontId="35" fillId="0" borderId="52" xfId="4" applyFont="1" applyBorder="1"/>
    <xf numFmtId="0" fontId="35" fillId="0" borderId="51" xfId="3" applyFont="1" applyBorder="1" applyAlignment="1">
      <alignment horizontal="center" vertical="center"/>
    </xf>
    <xf numFmtId="0" fontId="37" fillId="0" borderId="51" xfId="3" applyFont="1" applyBorder="1" applyAlignment="1">
      <alignment horizontal="center" vertical="center" wrapText="1"/>
    </xf>
    <xf numFmtId="43" fontId="35" fillId="0" borderId="1" xfId="3" applyNumberFormat="1" applyFont="1" applyBorder="1"/>
    <xf numFmtId="164" fontId="35" fillId="0" borderId="1" xfId="1" applyFont="1" applyBorder="1"/>
    <xf numFmtId="43" fontId="35" fillId="0" borderId="52" xfId="3" applyNumberFormat="1" applyFont="1" applyBorder="1"/>
    <xf numFmtId="164" fontId="35" fillId="0" borderId="52" xfId="1" applyFont="1" applyBorder="1"/>
    <xf numFmtId="0" fontId="50" fillId="0" borderId="51" xfId="3" applyFont="1" applyBorder="1"/>
    <xf numFmtId="9" fontId="35" fillId="0" borderId="51" xfId="3" applyNumberFormat="1" applyFont="1" applyBorder="1"/>
    <xf numFmtId="164" fontId="35" fillId="0" borderId="0" xfId="3" applyNumberFormat="1" applyFont="1"/>
    <xf numFmtId="43" fontId="39" fillId="0" borderId="0" xfId="3" applyNumberFormat="1" applyFont="1"/>
    <xf numFmtId="13" fontId="35" fillId="0" borderId="0" xfId="3" applyNumberFormat="1" applyFont="1"/>
    <xf numFmtId="0" fontId="48" fillId="12" borderId="0" xfId="3" applyFont="1" applyFill="1"/>
  </cellXfs>
  <cellStyles count="5">
    <cellStyle name="Comma" xfId="1" builtinId="3"/>
    <cellStyle name="Comma 2" xfId="4"/>
    <cellStyle name="Normal" xfId="0" builtinId="0"/>
    <cellStyle name="Normal 10 3 2" xfId="3"/>
    <cellStyle name="Percent" xfId="2" builtinId="5"/>
  </cellStyles>
  <dxfs count="0"/>
  <tableStyles count="0" defaultTableStyle="TableStyleMedium2" defaultPivotStyle="PivotStyleLight16"/>
  <colors>
    <mruColors>
      <color rgb="FFFCFD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'Resumen (Gg y Mg)'!$H$5:$K$5</c:f>
              <c:numCache>
                <c:formatCode>General</c:formatCode>
                <c:ptCount val="4"/>
                <c:pt idx="0">
                  <c:v>2000</c:v>
                </c:pt>
                <c:pt idx="1">
                  <c:v>2005</c:v>
                </c:pt>
                <c:pt idx="2">
                  <c:v>2010</c:v>
                </c:pt>
                <c:pt idx="3">
                  <c:v>2012</c:v>
                </c:pt>
              </c:numCache>
            </c:numRef>
          </c:cat>
          <c:val>
            <c:numRef>
              <c:f>'Resumen (Gg y Mg)'!$H$52:$K$52</c:f>
              <c:numCache>
                <c:formatCode>_-* #,##0.00\ _€_-;\-* #,##0.00\ _€_-;_-* "-"??\ _€_-;_-@_-</c:formatCode>
                <c:ptCount val="4"/>
                <c:pt idx="0">
                  <c:v>23463.713468320191</c:v>
                </c:pt>
                <c:pt idx="1">
                  <c:v>24576.517199999998</c:v>
                </c:pt>
                <c:pt idx="2">
                  <c:v>25783.38611438145</c:v>
                </c:pt>
                <c:pt idx="3">
                  <c:v>26043.680100000001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14680368"/>
        <c:axId val="1314680912"/>
      </c:barChart>
      <c:catAx>
        <c:axId val="1314680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4680912"/>
        <c:crosses val="autoZero"/>
        <c:auto val="1"/>
        <c:lblAlgn val="ctr"/>
        <c:lblOffset val="100"/>
        <c:noMultiLvlLbl val="0"/>
      </c:catAx>
      <c:valAx>
        <c:axId val="1314680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4680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Garamond" panose="02020404030301010803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463188976377952"/>
          <c:y val="0.16550925925925927"/>
          <c:w val="0.84481255468066496"/>
          <c:h val="0.733588145231846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'Resumen (Gg y Mg)'!$G$27</c:f>
              <c:strCache>
                <c:ptCount val="1"/>
                <c:pt idx="0">
                  <c:v>Público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110000"/>
                    <a:satMod val="105000"/>
                    <a:tint val="67000"/>
                  </a:schemeClr>
                </a:gs>
                <a:gs pos="50000">
                  <a:schemeClr val="accent4">
                    <a:lumMod val="105000"/>
                    <a:satMod val="103000"/>
                    <a:tint val="73000"/>
                  </a:schemeClr>
                </a:gs>
                <a:gs pos="100000">
                  <a:schemeClr val="accent4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4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Garamond" panose="02020404030301010803" pitchFamily="18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'Resumen (Gg y Mg)'!$H$5:$K$5</c:f>
              <c:numCache>
                <c:formatCode>General</c:formatCode>
                <c:ptCount val="4"/>
                <c:pt idx="0">
                  <c:v>2000</c:v>
                </c:pt>
                <c:pt idx="1">
                  <c:v>2005</c:v>
                </c:pt>
                <c:pt idx="2">
                  <c:v>2010</c:v>
                </c:pt>
                <c:pt idx="3">
                  <c:v>2012</c:v>
                </c:pt>
              </c:numCache>
            </c:numRef>
          </c:cat>
          <c:val>
            <c:numRef>
              <c:f>'Resumen (Gg y Mg)'!$H$27:$K$27</c:f>
              <c:numCache>
                <c:formatCode>_-* #,##0.00\ _€_-;\-* #,##0.00\ _€_-;_-* "-"??\ _€_-;_-@_-</c:formatCode>
                <c:ptCount val="4"/>
                <c:pt idx="0">
                  <c:v>737.24309199999993</c:v>
                </c:pt>
                <c:pt idx="1">
                  <c:v>625.24890000000005</c:v>
                </c:pt>
                <c:pt idx="2">
                  <c:v>715.72286835200009</c:v>
                </c:pt>
                <c:pt idx="3">
                  <c:v>819.51800000000003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321832800"/>
        <c:axId val="1321836608"/>
      </c:barChart>
      <c:catAx>
        <c:axId val="1321832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Garamond" panose="02020404030301010803" pitchFamily="18" charset="0"/>
                <a:ea typeface="+mn-ea"/>
                <a:cs typeface="+mn-cs"/>
              </a:defRPr>
            </a:pPr>
            <a:endParaRPr lang="en-US"/>
          </a:p>
        </c:txPr>
        <c:crossAx val="1321836608"/>
        <c:crosses val="autoZero"/>
        <c:auto val="1"/>
        <c:lblAlgn val="ctr"/>
        <c:lblOffset val="100"/>
        <c:noMultiLvlLbl val="0"/>
      </c:catAx>
      <c:valAx>
        <c:axId val="1321836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Garamond" panose="02020404030301010803" pitchFamily="18" charset="0"/>
                    <a:ea typeface="+mn-ea"/>
                    <a:cs typeface="+mn-cs"/>
                  </a:defRPr>
                </a:pPr>
                <a:r>
                  <a:rPr lang="en-GB" cap="none" baseline="0"/>
                  <a:t>GgCO</a:t>
                </a:r>
                <a:r>
                  <a:rPr lang="en-GB" cap="none" baseline="-25000"/>
                  <a:t>2</a:t>
                </a:r>
                <a:r>
                  <a:rPr lang="en-GB" cap="none" baseline="0"/>
                  <a:t>e</a:t>
                </a:r>
              </a:p>
            </c:rich>
          </c:tx>
          <c:layout>
            <c:manualLayout>
              <c:xMode val="edge"/>
              <c:yMode val="edge"/>
              <c:x val="8.3333333333333332E-3"/>
              <c:y val="7.33912948381452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Garamond" panose="02020404030301010803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.00\ _€_-;\-* #,##0.00\ _€_-;_-* &quot;-&quot;??\ _€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Garamond" panose="02020404030301010803" pitchFamily="18" charset="0"/>
                <a:ea typeface="+mn-ea"/>
                <a:cs typeface="+mn-cs"/>
              </a:defRPr>
            </a:pPr>
            <a:endParaRPr lang="en-US"/>
          </a:p>
        </c:txPr>
        <c:crossAx val="1321832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Garamond" panose="02020404030301010803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81780402449694"/>
          <c:y val="0.1111111111111111"/>
          <c:w val="0.80762664041994736"/>
          <c:h val="0.73667395742198893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'Reducción emisiones'!$C$40:$C$53</c:f>
              <c:numCache>
                <c:formatCode>General</c:formatCode>
                <c:ptCount val="1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</c:numCache>
            </c:numRef>
          </c:cat>
          <c:val>
            <c:numRef>
              <c:f>'Reducción emisiones'!$D$40:$D$53</c:f>
              <c:numCache>
                <c:formatCode>_(* #,##0.00_);_(* \(#,##0.00\);_(* "-"??_);_(@_)</c:formatCode>
                <c:ptCount val="14"/>
                <c:pt idx="0">
                  <c:v>1029.4085989642604</c:v>
                </c:pt>
                <c:pt idx="1">
                  <c:v>1066.5164053466303</c:v>
                </c:pt>
                <c:pt idx="2">
                  <c:v>1104.9618625859066</c:v>
                </c:pt>
                <c:pt idx="3">
                  <c:v>1144.7931899111259</c:v>
                </c:pt>
                <c:pt idx="4">
                  <c:v>1186.0603447433471</c:v>
                </c:pt>
                <c:pt idx="5">
                  <c:v>1228.815085353466</c:v>
                </c:pt>
                <c:pt idx="6">
                  <c:v>1273.1110357787013</c:v>
                </c:pt>
                <c:pt idx="7">
                  <c:v>1319.0037530791662</c:v>
                </c:pt>
                <c:pt idx="8">
                  <c:v>1366.550797018888</c:v>
                </c:pt>
                <c:pt idx="9">
                  <c:v>1415.811802258665</c:v>
                </c:pt>
                <c:pt idx="10">
                  <c:v>1466.8485531513134</c:v>
                </c:pt>
                <c:pt idx="11">
                  <c:v>1519.725061233104</c:v>
                </c:pt>
                <c:pt idx="12">
                  <c:v>1574.5076455085934</c:v>
                </c:pt>
                <c:pt idx="13">
                  <c:v>1631.2650156295351</c:v>
                </c:pt>
              </c:numCache>
            </c:numRef>
          </c:val>
          <c:smooth val="0"/>
        </c:ser>
        <c:ser>
          <c:idx val="1"/>
          <c:order val="1"/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20000"/>
                  <a:lumOff val="80000"/>
                </a:schemeClr>
              </a:solidFill>
              <a:ln w="9525">
                <a:solidFill>
                  <a:schemeClr val="accent5">
                    <a:lumMod val="75000"/>
                  </a:schemeClr>
                </a:solidFill>
              </a:ln>
              <a:effectLst/>
            </c:spPr>
          </c:marker>
          <c:cat>
            <c:numRef>
              <c:f>'Reducción emisiones'!$C$40:$C$53</c:f>
              <c:numCache>
                <c:formatCode>General</c:formatCode>
                <c:ptCount val="1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</c:numCache>
            </c:numRef>
          </c:cat>
          <c:val>
            <c:numRef>
              <c:f>'Reducción emisiones'!$E$40:$E$53</c:f>
              <c:numCache>
                <c:formatCode>_-* #,##0.00\ _€_-;\-* #,##0.00\ _€_-;_-* "-"??\ _€_-;_-@_-</c:formatCode>
                <c:ptCount val="14"/>
                <c:pt idx="0">
                  <c:v>1029.4085989642604</c:v>
                </c:pt>
                <c:pt idx="1">
                  <c:v>906.5389445446358</c:v>
                </c:pt>
                <c:pt idx="2">
                  <c:v>939.21758319802063</c:v>
                </c:pt>
                <c:pt idx="3">
                  <c:v>973.07421142445696</c:v>
                </c:pt>
                <c:pt idx="4">
                  <c:v>1008.1512930318449</c:v>
                </c:pt>
                <c:pt idx="5">
                  <c:v>1044.4928225504461</c:v>
                </c:pt>
                <c:pt idx="6">
                  <c:v>1082.144380411896</c:v>
                </c:pt>
                <c:pt idx="7">
                  <c:v>1121.1531901172914</c:v>
                </c:pt>
                <c:pt idx="8">
                  <c:v>1161.5681774660547</c:v>
                </c:pt>
                <c:pt idx="9">
                  <c:v>1203.4400319198653</c:v>
                </c:pt>
                <c:pt idx="10">
                  <c:v>1246.8212701786163</c:v>
                </c:pt>
                <c:pt idx="11">
                  <c:v>1291.7663020481384</c:v>
                </c:pt>
                <c:pt idx="12">
                  <c:v>1338.3314986823043</c:v>
                </c:pt>
                <c:pt idx="13">
                  <c:v>1386.5752632851047</c:v>
                </c:pt>
              </c:numCache>
            </c:numRef>
          </c:val>
          <c:smooth val="0"/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40000"/>
                  <a:lumOff val="60000"/>
                </a:schemeClr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'Reducción emisiones'!$C$40:$C$53</c:f>
              <c:numCache>
                <c:formatCode>General</c:formatCode>
                <c:ptCount val="1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</c:numCache>
            </c:numRef>
          </c:cat>
          <c:val>
            <c:numRef>
              <c:f>'Reducción emisiones'!$F$40:$F$53</c:f>
              <c:numCache>
                <c:formatCode>_-* #,##0.00\ _€_-;\-* #,##0.00\ _€_-;_-* "-"??\ _€_-;_-@_-</c:formatCode>
                <c:ptCount val="14"/>
                <c:pt idx="0">
                  <c:v>1029.4085989642604</c:v>
                </c:pt>
                <c:pt idx="1">
                  <c:v>799.88730400997269</c:v>
                </c:pt>
                <c:pt idx="2">
                  <c:v>828.72139693942995</c:v>
                </c:pt>
                <c:pt idx="3">
                  <c:v>858.5948924333444</c:v>
                </c:pt>
                <c:pt idx="4">
                  <c:v>889.54525855751035</c:v>
                </c:pt>
                <c:pt idx="5">
                  <c:v>921.61131401509942</c:v>
                </c:pt>
                <c:pt idx="6">
                  <c:v>954.83327683402604</c:v>
                </c:pt>
                <c:pt idx="7">
                  <c:v>989.25281480937474</c:v>
                </c:pt>
                <c:pt idx="8">
                  <c:v>1024.913097764166</c:v>
                </c:pt>
                <c:pt idx="9">
                  <c:v>1061.8588516939988</c:v>
                </c:pt>
                <c:pt idx="10">
                  <c:v>1100.136414863485</c:v>
                </c:pt>
                <c:pt idx="11">
                  <c:v>1139.7937959248279</c:v>
                </c:pt>
                <c:pt idx="12">
                  <c:v>1180.880734131445</c:v>
                </c:pt>
                <c:pt idx="13">
                  <c:v>1223.4487617221514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3216992"/>
        <c:axId val="1313224064"/>
      </c:lineChart>
      <c:catAx>
        <c:axId val="1313216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aramond" panose="02020404030301010803" pitchFamily="18" charset="0"/>
                <a:ea typeface="+mn-ea"/>
                <a:cs typeface="+mn-cs"/>
              </a:defRPr>
            </a:pPr>
            <a:endParaRPr lang="en-US"/>
          </a:p>
        </c:txPr>
        <c:crossAx val="1313224064"/>
        <c:crosses val="autoZero"/>
        <c:auto val="1"/>
        <c:lblAlgn val="ctr"/>
        <c:lblOffset val="100"/>
        <c:noMultiLvlLbl val="0"/>
      </c:catAx>
      <c:valAx>
        <c:axId val="1313224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aramond" panose="02020404030301010803" pitchFamily="18" charset="0"/>
                    <a:ea typeface="+mn-ea"/>
                    <a:cs typeface="+mn-cs"/>
                  </a:defRPr>
                </a:pPr>
                <a:r>
                  <a:rPr lang="en-GB"/>
                  <a:t>GgCO</a:t>
                </a:r>
                <a:r>
                  <a:rPr lang="en-GB" baseline="-25000"/>
                  <a:t>2</a:t>
                </a:r>
                <a:r>
                  <a:rPr lang="en-GB"/>
                  <a:t>e</a:t>
                </a:r>
              </a:p>
            </c:rich>
          </c:tx>
          <c:layout>
            <c:manualLayout>
              <c:xMode val="edge"/>
              <c:yMode val="edge"/>
              <c:x val="8.3333333333333332E-3"/>
              <c:y val="2.1216097987751524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aramond" panose="02020404030301010803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aramond" panose="02020404030301010803" pitchFamily="18" charset="0"/>
                <a:ea typeface="+mn-ea"/>
                <a:cs typeface="+mn-cs"/>
              </a:defRPr>
            </a:pPr>
            <a:endParaRPr lang="en-US"/>
          </a:p>
        </c:txPr>
        <c:crossAx val="1313216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Garamond" panose="02020404030301010803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81780402449694"/>
          <c:y val="0.1111111111111111"/>
          <c:w val="0.80762664041994736"/>
          <c:h val="0.73667395742198893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'Reducción emisiones'!$C$40:$C$53</c:f>
              <c:numCache>
                <c:formatCode>General</c:formatCode>
                <c:ptCount val="1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</c:numCache>
            </c:numRef>
          </c:cat>
          <c:val>
            <c:numRef>
              <c:f>'Reducción emisiones'!$D$40:$D$53</c:f>
              <c:numCache>
                <c:formatCode>_(* #,##0.00_);_(* \(#,##0.00\);_(* "-"??_);_(@_)</c:formatCode>
                <c:ptCount val="14"/>
                <c:pt idx="0">
                  <c:v>1029.4085989642604</c:v>
                </c:pt>
                <c:pt idx="1">
                  <c:v>1066.5164053466303</c:v>
                </c:pt>
                <c:pt idx="2">
                  <c:v>1104.9618625859066</c:v>
                </c:pt>
                <c:pt idx="3">
                  <c:v>1144.7931899111259</c:v>
                </c:pt>
                <c:pt idx="4">
                  <c:v>1186.0603447433471</c:v>
                </c:pt>
                <c:pt idx="5">
                  <c:v>1228.815085353466</c:v>
                </c:pt>
                <c:pt idx="6">
                  <c:v>1273.1110357787013</c:v>
                </c:pt>
                <c:pt idx="7">
                  <c:v>1319.0037530791662</c:v>
                </c:pt>
                <c:pt idx="8">
                  <c:v>1366.550797018888</c:v>
                </c:pt>
                <c:pt idx="9">
                  <c:v>1415.811802258665</c:v>
                </c:pt>
                <c:pt idx="10">
                  <c:v>1466.8485531513134</c:v>
                </c:pt>
                <c:pt idx="11">
                  <c:v>1519.725061233104</c:v>
                </c:pt>
                <c:pt idx="12">
                  <c:v>1574.5076455085934</c:v>
                </c:pt>
                <c:pt idx="13">
                  <c:v>1631.2650156295351</c:v>
                </c:pt>
              </c:numCache>
            </c:numRef>
          </c:val>
          <c:smooth val="0"/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20000"/>
                  <a:lumOff val="80000"/>
                </a:schemeClr>
              </a:solidFill>
              <a:ln w="9525">
                <a:solidFill>
                  <a:schemeClr val="accent5">
                    <a:lumMod val="75000"/>
                  </a:schemeClr>
                </a:solidFill>
              </a:ln>
              <a:effectLst/>
            </c:spPr>
          </c:marker>
          <c:cat>
            <c:numRef>
              <c:f>'Reducción emisiones'!$C$40:$C$53</c:f>
              <c:numCache>
                <c:formatCode>General</c:formatCode>
                <c:ptCount val="1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</c:numCache>
            </c:numRef>
          </c:cat>
          <c:val>
            <c:numRef>
              <c:f>'Reducción emisiones'!$G$40:$G$53</c:f>
              <c:numCache>
                <c:formatCode>_-* #,##0.00\ _€_-;\-* #,##0.00\ _€_-;_-* "-"??\ _€_-;_-@_-</c:formatCode>
                <c:ptCount val="14"/>
                <c:pt idx="0">
                  <c:v>1029.4085989642604</c:v>
                </c:pt>
                <c:pt idx="1">
                  <c:v>1016.523448846007</c:v>
                </c:pt>
                <c:pt idx="2">
                  <c:v>1053.1667752771923</c:v>
                </c:pt>
                <c:pt idx="3">
                  <c:v>1091.1310091340417</c:v>
                </c:pt>
                <c:pt idx="4">
                  <c:v>1130.4637660835026</c:v>
                </c:pt>
                <c:pt idx="5">
                  <c:v>1171.2143782275223</c:v>
                </c:pt>
                <c:pt idx="6">
                  <c:v>1213.4339559765747</c:v>
                </c:pt>
                <c:pt idx="7">
                  <c:v>1257.1754521535804</c:v>
                </c:pt>
                <c:pt idx="8">
                  <c:v>1302.4937284086277</c:v>
                </c:pt>
                <c:pt idx="9">
                  <c:v>1349.44562402779</c:v>
                </c:pt>
                <c:pt idx="10">
                  <c:v>1398.0900272223455</c:v>
                </c:pt>
                <c:pt idx="11">
                  <c:v>1448.4879489878024</c:v>
                </c:pt>
                <c:pt idx="12">
                  <c:v>1500.7025996253781</c:v>
                </c:pt>
                <c:pt idx="13">
                  <c:v>1554.7994680219006</c:v>
                </c:pt>
              </c:numCache>
            </c:numRef>
          </c:val>
          <c:smooth val="0"/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40000"/>
                  <a:lumOff val="60000"/>
                </a:schemeClr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'Reducción emisiones'!$C$40:$C$53</c:f>
              <c:numCache>
                <c:formatCode>General</c:formatCode>
                <c:ptCount val="1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</c:numCache>
            </c:numRef>
          </c:cat>
          <c:val>
            <c:numRef>
              <c:f>'Reducción emisiones'!$H$40:$H$53</c:f>
              <c:numCache>
                <c:formatCode>_-* #,##0.00\ _€_-;\-* #,##0.00\ _€_-;_-* "-"??\ _€_-;_-@_-</c:formatCode>
                <c:ptCount val="14"/>
                <c:pt idx="0">
                  <c:v>1029.4085989642604</c:v>
                </c:pt>
                <c:pt idx="1">
                  <c:v>983.19481117892485</c:v>
                </c:pt>
                <c:pt idx="2">
                  <c:v>1018.6367170713827</c:v>
                </c:pt>
                <c:pt idx="3">
                  <c:v>1055.3562219493192</c:v>
                </c:pt>
                <c:pt idx="4">
                  <c:v>1093.399380310273</c:v>
                </c:pt>
                <c:pt idx="5">
                  <c:v>1132.8139068102264</c:v>
                </c:pt>
                <c:pt idx="6">
                  <c:v>1173.6492361084902</c:v>
                </c:pt>
                <c:pt idx="7">
                  <c:v>1215.9565848698564</c:v>
                </c:pt>
                <c:pt idx="8">
                  <c:v>1259.7890160017873</c:v>
                </c:pt>
                <c:pt idx="9">
                  <c:v>1305.2015052072068</c:v>
                </c:pt>
                <c:pt idx="10">
                  <c:v>1352.2510099363669</c:v>
                </c:pt>
                <c:pt idx="11">
                  <c:v>1400.9965408242679</c:v>
                </c:pt>
                <c:pt idx="12">
                  <c:v>1451.4992357032345</c:v>
                </c:pt>
                <c:pt idx="13">
                  <c:v>1503.8224362834776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6157024"/>
        <c:axId val="1446135808"/>
      </c:lineChart>
      <c:catAx>
        <c:axId val="144615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aramond" panose="02020404030301010803" pitchFamily="18" charset="0"/>
                <a:ea typeface="+mn-ea"/>
                <a:cs typeface="+mn-cs"/>
              </a:defRPr>
            </a:pPr>
            <a:endParaRPr lang="en-US"/>
          </a:p>
        </c:txPr>
        <c:crossAx val="1446135808"/>
        <c:crosses val="autoZero"/>
        <c:auto val="1"/>
        <c:lblAlgn val="ctr"/>
        <c:lblOffset val="100"/>
        <c:noMultiLvlLbl val="0"/>
      </c:catAx>
      <c:valAx>
        <c:axId val="1446135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aramond" panose="02020404030301010803" pitchFamily="18" charset="0"/>
                    <a:ea typeface="+mn-ea"/>
                    <a:cs typeface="+mn-cs"/>
                  </a:defRPr>
                </a:pPr>
                <a:r>
                  <a:rPr lang="en-GB"/>
                  <a:t>GgCO</a:t>
                </a:r>
                <a:r>
                  <a:rPr lang="en-GB" baseline="-25000"/>
                  <a:t>2</a:t>
                </a:r>
                <a:r>
                  <a:rPr lang="en-GB"/>
                  <a:t>e</a:t>
                </a:r>
              </a:p>
            </c:rich>
          </c:tx>
          <c:layout>
            <c:manualLayout>
              <c:xMode val="edge"/>
              <c:yMode val="edge"/>
              <c:x val="8.3333333333333332E-3"/>
              <c:y val="2.1216097987751524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aramond" panose="02020404030301010803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aramond" panose="02020404030301010803" pitchFamily="18" charset="0"/>
                <a:ea typeface="+mn-ea"/>
                <a:cs typeface="+mn-cs"/>
              </a:defRPr>
            </a:pPr>
            <a:endParaRPr lang="en-US"/>
          </a:p>
        </c:txPr>
        <c:crossAx val="1446157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Garamond" panose="02020404030301010803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561975</xdr:colOff>
      <xdr:row>42</xdr:row>
      <xdr:rowOff>109537</xdr:rowOff>
    </xdr:from>
    <xdr:to>
      <xdr:col>17</xdr:col>
      <xdr:colOff>304800</xdr:colOff>
      <xdr:row>59</xdr:row>
      <xdr:rowOff>80962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428625</xdr:colOff>
      <xdr:row>6</xdr:row>
      <xdr:rowOff>52387</xdr:rowOff>
    </xdr:from>
    <xdr:to>
      <xdr:col>17</xdr:col>
      <xdr:colOff>171450</xdr:colOff>
      <xdr:row>22</xdr:row>
      <xdr:rowOff>23812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485774</xdr:colOff>
      <xdr:row>38</xdr:row>
      <xdr:rowOff>52387</xdr:rowOff>
    </xdr:from>
    <xdr:to>
      <xdr:col>16</xdr:col>
      <xdr:colOff>9525</xdr:colOff>
      <xdr:row>54</xdr:row>
      <xdr:rowOff>157162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438150</xdr:colOff>
      <xdr:row>55</xdr:row>
      <xdr:rowOff>219075</xdr:rowOff>
    </xdr:from>
    <xdr:to>
      <xdr:col>15</xdr:col>
      <xdr:colOff>571501</xdr:colOff>
      <xdr:row>73</xdr:row>
      <xdr:rowOff>47625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INGEI%202005-2012\Resumen%20INGEIs%20todos%20v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INGEI%202005-2012/Informe%20Final/Resumen%20INGEI%202000%20vfina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INGEI%202005-2012/Informe%202005/Resumen%20INGEI%202005%20vfina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INGEI%202005-2012/Informe%20Final/Resumen%20INGEI%202010%20vfinal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INGEI%202005-2012/Informe%202012/Resumen%20INGEI%202012%20vfinal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iaz\respaldo%20ajt\archivo\COMPENDIO\Compendio99\oyd9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Gg y Mg)"/>
      <sheetName val="Indicadores"/>
      <sheetName val="Cuenta 217 (INEI)"/>
      <sheetName val="Cuenta 25 (INEI)"/>
    </sheetNames>
    <sheetDataSet>
      <sheetData sheetId="0">
        <row r="5">
          <cell r="H5">
            <v>2000</v>
          </cell>
          <cell r="I5">
            <v>2005</v>
          </cell>
          <cell r="J5">
            <v>2010</v>
          </cell>
          <cell r="K5">
            <v>2012</v>
          </cell>
        </row>
        <row r="52">
          <cell r="H52">
            <v>23463.713468320191</v>
          </cell>
          <cell r="I52">
            <v>24576.517199999998</v>
          </cell>
          <cell r="J52">
            <v>25783.38611438145</v>
          </cell>
          <cell r="K52">
            <v>26043.680100000001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egorías principales"/>
      <sheetName val="Resumen (Gg y Mg)"/>
      <sheetName val="Resumen (para Guías)"/>
      <sheetName val="Resumen (Gg)"/>
      <sheetName val="Resumen (GgCO2e)"/>
    </sheetNames>
    <sheetDataSet>
      <sheetData sheetId="0">
        <row r="7">
          <cell r="R7">
            <v>0.83924153747528019</v>
          </cell>
        </row>
      </sheetData>
      <sheetData sheetId="1" refreshError="1">
        <row r="10">
          <cell r="K10">
            <v>1772.763844696319</v>
          </cell>
        </row>
        <row r="11">
          <cell r="K11">
            <v>257.47618105870851</v>
          </cell>
        </row>
        <row r="12">
          <cell r="K12">
            <v>1.1706056716561548</v>
          </cell>
        </row>
        <row r="13">
          <cell r="K13">
            <v>541.85205604008729</v>
          </cell>
        </row>
        <row r="15">
          <cell r="K15">
            <v>2548.3940600000001</v>
          </cell>
        </row>
        <row r="16">
          <cell r="K16">
            <v>4279.4116210000002</v>
          </cell>
        </row>
        <row r="18">
          <cell r="K18">
            <v>429.87977328359466</v>
          </cell>
        </row>
        <row r="20">
          <cell r="K20">
            <v>429.87977328359466</v>
          </cell>
        </row>
        <row r="21">
          <cell r="K21">
            <v>9205.3890203634837</v>
          </cell>
        </row>
        <row r="22">
          <cell r="K22">
            <v>27.163032062837846</v>
          </cell>
        </row>
        <row r="23">
          <cell r="K23">
            <v>172.54340840316817</v>
          </cell>
        </row>
        <row r="24">
          <cell r="K24">
            <v>12.305594113985341</v>
          </cell>
        </row>
        <row r="26">
          <cell r="K26">
            <v>737.24309199999993</v>
          </cell>
        </row>
        <row r="27">
          <cell r="K27">
            <v>2844.2625799999996</v>
          </cell>
        </row>
        <row r="28">
          <cell r="K28">
            <v>198.75836299999997</v>
          </cell>
        </row>
        <row r="29">
          <cell r="K29">
            <v>1067.0292480000001</v>
          </cell>
        </row>
        <row r="31">
          <cell r="K31">
            <v>5.2744383250000002</v>
          </cell>
        </row>
        <row r="32">
          <cell r="K32">
            <v>4276.2933796181478</v>
          </cell>
        </row>
        <row r="35">
          <cell r="K35">
            <v>1711.125525258474</v>
          </cell>
        </row>
        <row r="36">
          <cell r="K36">
            <v>107.79289499999999</v>
          </cell>
        </row>
        <row r="38">
          <cell r="K38">
            <v>93.824543743667505</v>
          </cell>
        </row>
        <row r="39">
          <cell r="K39">
            <v>9.1813497600000016</v>
          </cell>
        </row>
        <row r="41">
          <cell r="K41">
            <v>0.96993249901305356</v>
          </cell>
        </row>
        <row r="42">
          <cell r="K42">
            <v>0</v>
          </cell>
        </row>
        <row r="43">
          <cell r="K43">
            <v>0</v>
          </cell>
        </row>
        <row r="44">
          <cell r="K44">
            <v>3.485549567003809</v>
          </cell>
        </row>
        <row r="46">
          <cell r="K46">
            <v>506.35319000000004</v>
          </cell>
        </row>
        <row r="47">
          <cell r="K47">
            <v>0</v>
          </cell>
        </row>
        <row r="48">
          <cell r="K48">
            <v>1.4450000000000001</v>
          </cell>
        </row>
        <row r="49">
          <cell r="K49">
            <v>140.69957199999999</v>
          </cell>
        </row>
        <row r="50">
          <cell r="K50">
            <v>0</v>
          </cell>
        </row>
        <row r="52">
          <cell r="K52">
            <v>10049.827160869676</v>
          </cell>
        </row>
        <row r="53">
          <cell r="K53">
            <v>1022.3445355271498</v>
          </cell>
        </row>
        <row r="54">
          <cell r="K54">
            <v>828.3761457720002</v>
          </cell>
        </row>
        <row r="55">
          <cell r="K55">
            <v>10919.372980549273</v>
          </cell>
        </row>
        <row r="56">
          <cell r="K56">
            <v>501.08202648122085</v>
          </cell>
        </row>
        <row r="57">
          <cell r="K57">
            <v>142.71061912086805</v>
          </cell>
        </row>
        <row r="60">
          <cell r="K60">
            <v>29184.514746412326</v>
          </cell>
        </row>
        <row r="61">
          <cell r="K61">
            <v>-2980.502979458679</v>
          </cell>
        </row>
        <row r="62">
          <cell r="K62">
            <v>-294.38707906666718</v>
          </cell>
        </row>
        <row r="64">
          <cell r="K64">
            <v>98784.686012062128</v>
          </cell>
        </row>
        <row r="65">
          <cell r="K65">
            <v>1463.0288884199999</v>
          </cell>
        </row>
        <row r="66">
          <cell r="K66">
            <v>15.335498375999999</v>
          </cell>
        </row>
        <row r="67">
          <cell r="K67">
            <v>83.093731077224987</v>
          </cell>
        </row>
        <row r="68">
          <cell r="K68">
            <v>-24273.070090821093</v>
          </cell>
        </row>
        <row r="69">
          <cell r="K69">
            <v>233.00162654882936</v>
          </cell>
        </row>
        <row r="70">
          <cell r="K70">
            <v>4992.6206567040017</v>
          </cell>
        </row>
        <row r="73">
          <cell r="K73">
            <v>4087.8899174738303</v>
          </cell>
        </row>
        <row r="75">
          <cell r="K75">
            <v>213.94177275122527</v>
          </cell>
        </row>
        <row r="77">
          <cell r="K77">
            <v>436.41056340508982</v>
          </cell>
        </row>
        <row r="78">
          <cell r="K78">
            <v>495.27124065860585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egorías principales"/>
      <sheetName val="Resumen (Gg y Mg)"/>
      <sheetName val="Resumen (Gg)"/>
      <sheetName val="Resumen (para Guías)"/>
      <sheetName val="Resumen (GgCO2e)"/>
    </sheetNames>
    <sheetDataSet>
      <sheetData sheetId="0">
        <row r="5">
          <cell r="R5">
            <v>0.82068542933325506</v>
          </cell>
        </row>
      </sheetData>
      <sheetData sheetId="1" refreshError="1">
        <row r="10">
          <cell r="K10">
            <v>2722.1799000000001</v>
          </cell>
        </row>
        <row r="11">
          <cell r="K11">
            <v>105.40600000000001</v>
          </cell>
        </row>
        <row r="12">
          <cell r="K12">
            <v>137.14179999999999</v>
          </cell>
        </row>
        <row r="13">
          <cell r="K13">
            <v>472.32369999999997</v>
          </cell>
        </row>
        <row r="15">
          <cell r="K15">
            <v>1959.4564</v>
          </cell>
        </row>
        <row r="16">
          <cell r="K16">
            <v>5679.1148999999996</v>
          </cell>
        </row>
        <row r="18">
          <cell r="K18">
            <v>311.83819999999997</v>
          </cell>
        </row>
        <row r="20">
          <cell r="K20">
            <v>311.83819999999997</v>
          </cell>
        </row>
        <row r="21">
          <cell r="K21">
            <v>9857.9197000000004</v>
          </cell>
        </row>
        <row r="22">
          <cell r="K22">
            <v>28.543600000000001</v>
          </cell>
        </row>
        <row r="23">
          <cell r="K23">
            <v>1678.7861</v>
          </cell>
        </row>
        <row r="24">
          <cell r="K24">
            <v>9.8668999999999993</v>
          </cell>
        </row>
        <row r="26">
          <cell r="K26">
            <v>625.24890000000005</v>
          </cell>
        </row>
        <row r="27">
          <cell r="K27">
            <v>1648.0024000000001</v>
          </cell>
        </row>
        <row r="28">
          <cell r="K28">
            <v>105.7063</v>
          </cell>
        </row>
        <row r="29">
          <cell r="K29">
            <v>962.88729999999998</v>
          </cell>
        </row>
        <row r="31">
          <cell r="K31">
            <v>18.664999999999999</v>
          </cell>
        </row>
        <row r="32">
          <cell r="K32">
            <v>3780.8905</v>
          </cell>
        </row>
        <row r="35">
          <cell r="K35">
            <v>2365.4823999999999</v>
          </cell>
        </row>
        <row r="36">
          <cell r="K36">
            <v>101.3109</v>
          </cell>
        </row>
        <row r="38">
          <cell r="K38">
            <v>159.86940000000001</v>
          </cell>
        </row>
        <row r="39">
          <cell r="K39">
            <v>15.6114</v>
          </cell>
        </row>
        <row r="41">
          <cell r="K41">
            <v>1.0388999999999999</v>
          </cell>
        </row>
        <row r="42">
          <cell r="K42">
            <v>0</v>
          </cell>
        </row>
        <row r="43">
          <cell r="K43">
            <v>0</v>
          </cell>
        </row>
        <row r="44">
          <cell r="K44">
            <v>3.7334000000000001</v>
          </cell>
        </row>
        <row r="46">
          <cell r="K46">
            <v>692.18520000000001</v>
          </cell>
        </row>
        <row r="47">
          <cell r="K47">
            <v>0</v>
          </cell>
        </row>
        <row r="48">
          <cell r="K48">
            <v>3.8776999999999999</v>
          </cell>
        </row>
        <row r="49">
          <cell r="K49">
            <v>166.0711</v>
          </cell>
        </row>
        <row r="50">
          <cell r="K50">
            <v>0</v>
          </cell>
        </row>
        <row r="52">
          <cell r="K52">
            <v>10496.607400000001</v>
          </cell>
        </row>
        <row r="53">
          <cell r="K53">
            <v>1111.1261</v>
          </cell>
        </row>
        <row r="54">
          <cell r="K54">
            <v>1059.6916000000001</v>
          </cell>
        </row>
        <row r="55">
          <cell r="K55">
            <v>11249.061799999999</v>
          </cell>
        </row>
        <row r="56">
          <cell r="K56">
            <v>434.05349999999999</v>
          </cell>
        </row>
        <row r="57">
          <cell r="K57">
            <v>225.9768</v>
          </cell>
        </row>
        <row r="60">
          <cell r="K60">
            <v>54502.58034862201</v>
          </cell>
        </row>
        <row r="61">
          <cell r="K61">
            <v>-2498.8660158677799</v>
          </cell>
        </row>
        <row r="62">
          <cell r="K62">
            <v>-83.93082500000034</v>
          </cell>
        </row>
        <row r="64">
          <cell r="K64">
            <v>74401.201684802101</v>
          </cell>
        </row>
        <row r="65">
          <cell r="K65">
            <v>1276.653236565121</v>
          </cell>
        </row>
        <row r="66">
          <cell r="K66">
            <v>24.556525751999995</v>
          </cell>
        </row>
        <row r="67">
          <cell r="K67">
            <v>208.7086580349584</v>
          </cell>
        </row>
        <row r="68">
          <cell r="K68">
            <v>-12342.552109674896</v>
          </cell>
        </row>
        <row r="69">
          <cell r="K69">
            <v>346.40055167318479</v>
          </cell>
        </row>
        <row r="70">
          <cell r="K70">
            <v>5199.935550368893</v>
          </cell>
        </row>
        <row r="73">
          <cell r="K73">
            <v>4229.9863999999998</v>
          </cell>
        </row>
        <row r="75">
          <cell r="K75">
            <v>267.08510000000001</v>
          </cell>
        </row>
        <row r="77">
          <cell r="K77">
            <v>659.08510000000001</v>
          </cell>
        </row>
        <row r="78">
          <cell r="K78">
            <v>530.09460000000001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Gg y Mg)"/>
      <sheetName val="Resumen (para Guías)"/>
      <sheetName val="Resumen (Gg)"/>
      <sheetName val="Resumen (GgCO2e)"/>
    </sheetNames>
    <sheetDataSet>
      <sheetData sheetId="0">
        <row r="10">
          <cell r="K10">
            <v>7682.3572500000009</v>
          </cell>
        </row>
        <row r="11">
          <cell r="K11">
            <v>311.82558999999998</v>
          </cell>
        </row>
        <row r="12">
          <cell r="K12">
            <v>2133.3508600000005</v>
          </cell>
        </row>
        <row r="13">
          <cell r="K13">
            <v>1145.8269499999999</v>
          </cell>
        </row>
        <row r="15">
          <cell r="K15">
            <v>5856.6305000000002</v>
          </cell>
        </row>
        <row r="16">
          <cell r="K16">
            <v>1690.73957</v>
          </cell>
        </row>
        <row r="18">
          <cell r="K18">
            <v>683.0512628683058</v>
          </cell>
        </row>
        <row r="20">
          <cell r="K20">
            <v>683.0512628683058</v>
          </cell>
        </row>
        <row r="21">
          <cell r="K21">
            <v>13941.455202529149</v>
          </cell>
        </row>
        <row r="22">
          <cell r="K22">
            <v>38.318751634539758</v>
          </cell>
        </row>
        <row r="23">
          <cell r="K23">
            <v>1752.6183691724077</v>
          </cell>
        </row>
        <row r="24">
          <cell r="K24">
            <v>8.9161996554619609</v>
          </cell>
        </row>
        <row r="26">
          <cell r="K26">
            <v>715.72286835200009</v>
          </cell>
        </row>
        <row r="27">
          <cell r="K27">
            <v>2063.1144300000001</v>
          </cell>
        </row>
        <row r="28">
          <cell r="K28">
            <v>102.19959999999999</v>
          </cell>
        </row>
        <row r="29">
          <cell r="K29">
            <v>478.81392999999997</v>
          </cell>
        </row>
        <row r="31">
          <cell r="K31">
            <v>38.367077171849999</v>
          </cell>
        </row>
        <row r="32">
          <cell r="K32">
            <v>4000.6726044398579</v>
          </cell>
        </row>
        <row r="35">
          <cell r="K35">
            <v>3266.7045322489384</v>
          </cell>
        </row>
        <row r="36">
          <cell r="K36">
            <v>243.87355355944442</v>
          </cell>
        </row>
        <row r="38">
          <cell r="K38">
            <v>249.5466899641271</v>
          </cell>
        </row>
        <row r="39">
          <cell r="K39">
            <v>30.406167440000001</v>
          </cell>
        </row>
        <row r="41">
          <cell r="K41">
            <v>1.8891457199999999</v>
          </cell>
        </row>
        <row r="42">
          <cell r="K42">
            <v>0</v>
          </cell>
        </row>
        <row r="43">
          <cell r="K43">
            <v>0</v>
          </cell>
        </row>
        <row r="44">
          <cell r="K44">
            <v>6.4786054000000011</v>
          </cell>
        </row>
        <row r="46">
          <cell r="K46">
            <v>1071.4653000000001</v>
          </cell>
        </row>
        <row r="47">
          <cell r="K47">
            <v>0</v>
          </cell>
        </row>
        <row r="48">
          <cell r="K48">
            <v>4.9624992187500006</v>
          </cell>
        </row>
        <row r="49">
          <cell r="K49">
            <v>136.23459501288002</v>
          </cell>
        </row>
        <row r="50">
          <cell r="K50">
            <v>0</v>
          </cell>
        </row>
        <row r="52">
          <cell r="K52">
            <v>10836.422517194082</v>
          </cell>
        </row>
        <row r="53">
          <cell r="K53">
            <v>1304.498251809847</v>
          </cell>
        </row>
        <row r="54">
          <cell r="K54">
            <v>1149.1879660800003</v>
          </cell>
        </row>
        <row r="55">
          <cell r="K55">
            <v>11906.64632925648</v>
          </cell>
        </row>
        <row r="56">
          <cell r="K56">
            <v>360.43091108271835</v>
          </cell>
        </row>
        <row r="57">
          <cell r="K57">
            <v>226.20013895831886</v>
          </cell>
        </row>
        <row r="60">
          <cell r="K60">
            <v>17110.564556106558</v>
          </cell>
        </row>
        <row r="61">
          <cell r="K61">
            <v>-3456.5887575508541</v>
          </cell>
        </row>
        <row r="62">
          <cell r="K62">
            <v>-484.16068800000176</v>
          </cell>
        </row>
        <row r="64">
          <cell r="K64">
            <v>73311.477815449034</v>
          </cell>
        </row>
        <row r="65">
          <cell r="K65">
            <v>7497.7231076175995</v>
          </cell>
        </row>
        <row r="66">
          <cell r="K66">
            <v>171.53172378026662</v>
          </cell>
        </row>
        <row r="67">
          <cell r="K67">
            <v>2257.6248088511334</v>
          </cell>
        </row>
        <row r="68">
          <cell r="K68">
            <v>-10948.063562130221</v>
          </cell>
        </row>
        <row r="69">
          <cell r="K69">
            <v>341.87550152286008</v>
          </cell>
        </row>
        <row r="70">
          <cell r="K70">
            <v>4105.1775147178168</v>
          </cell>
        </row>
        <row r="73">
          <cell r="K73">
            <v>5297.2113536826419</v>
          </cell>
        </row>
        <row r="75">
          <cell r="K75">
            <v>308.42627984568855</v>
          </cell>
        </row>
        <row r="77">
          <cell r="K77">
            <v>852.50623491605472</v>
          </cell>
        </row>
        <row r="78">
          <cell r="K78">
            <v>561.57171631226288</v>
          </cell>
        </row>
      </sheetData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Gg y Mg)"/>
      <sheetName val="Resumen (Gg)"/>
      <sheetName val="Resumen (para Guías)"/>
      <sheetName val="Resumen (GgCO2e)"/>
    </sheetNames>
    <sheetDataSet>
      <sheetData sheetId="0">
        <row r="10">
          <cell r="K10">
            <v>8478.7862000000005</v>
          </cell>
        </row>
        <row r="11">
          <cell r="K11">
            <v>185.87100000000001</v>
          </cell>
        </row>
        <row r="12">
          <cell r="K12">
            <v>1914.9338</v>
          </cell>
        </row>
        <row r="13">
          <cell r="K13">
            <v>1301.2366</v>
          </cell>
        </row>
        <row r="15">
          <cell r="K15">
            <v>6197.3658999999998</v>
          </cell>
        </row>
        <row r="16">
          <cell r="K16">
            <v>1611.5125</v>
          </cell>
        </row>
        <row r="18">
          <cell r="K18">
            <v>731.26130000000001</v>
          </cell>
        </row>
        <row r="20">
          <cell r="K20">
            <v>731.26130000000001</v>
          </cell>
        </row>
        <row r="21">
          <cell r="K21">
            <v>15263.4774</v>
          </cell>
        </row>
        <row r="22">
          <cell r="K22">
            <v>29.1386</v>
          </cell>
        </row>
        <row r="23">
          <cell r="K23">
            <v>1814.5498</v>
          </cell>
        </row>
        <row r="24">
          <cell r="K24">
            <v>8.5088000000000008</v>
          </cell>
        </row>
        <row r="26">
          <cell r="K26">
            <v>819.51800000000003</v>
          </cell>
        </row>
        <row r="27">
          <cell r="K27">
            <v>2369.2307000000001</v>
          </cell>
        </row>
        <row r="28">
          <cell r="K28">
            <v>127.1416</v>
          </cell>
        </row>
        <row r="29">
          <cell r="K29">
            <v>425.56779999999998</v>
          </cell>
        </row>
        <row r="31">
          <cell r="K31">
            <v>72.005499999999998</v>
          </cell>
        </row>
        <row r="32">
          <cell r="K32">
            <v>3287.7222999999999</v>
          </cell>
        </row>
        <row r="35">
          <cell r="K35">
            <v>3812.8955999999998</v>
          </cell>
        </row>
        <row r="36">
          <cell r="K36">
            <v>325.37560000000002</v>
          </cell>
        </row>
        <row r="38">
          <cell r="K38">
            <v>352.97699999999998</v>
          </cell>
        </row>
        <row r="39">
          <cell r="K39">
            <v>26.9544</v>
          </cell>
        </row>
        <row r="41">
          <cell r="K41">
            <v>2.3875999999999999</v>
          </cell>
        </row>
        <row r="42">
          <cell r="K42">
            <v>0</v>
          </cell>
        </row>
        <row r="43">
          <cell r="K43">
            <v>0</v>
          </cell>
        </row>
        <row r="44">
          <cell r="K44">
            <v>8.5800999999999998</v>
          </cell>
        </row>
        <row r="46">
          <cell r="K46">
            <v>1390.0449000000001</v>
          </cell>
        </row>
        <row r="47">
          <cell r="K47">
            <v>0</v>
          </cell>
        </row>
        <row r="48">
          <cell r="K48">
            <v>4.2682000000000002</v>
          </cell>
        </row>
        <row r="49">
          <cell r="K49">
            <v>131.6362</v>
          </cell>
        </row>
        <row r="50">
          <cell r="K50">
            <v>8.4179999999999993</v>
          </cell>
        </row>
        <row r="52">
          <cell r="K52">
            <v>10735.142900000001</v>
          </cell>
        </row>
        <row r="53">
          <cell r="K53">
            <v>1318.6631</v>
          </cell>
        </row>
        <row r="54">
          <cell r="K54">
            <v>1171.2722000000001</v>
          </cell>
        </row>
        <row r="55">
          <cell r="K55">
            <v>12195.5661</v>
          </cell>
        </row>
        <row r="56">
          <cell r="K56">
            <v>365.70620000000002</v>
          </cell>
        </row>
        <row r="57">
          <cell r="K57">
            <v>257.32960000000003</v>
          </cell>
        </row>
        <row r="60">
          <cell r="K60">
            <v>18700.4935</v>
          </cell>
        </row>
        <row r="61">
          <cell r="K61">
            <v>-3185.7972</v>
          </cell>
        </row>
        <row r="62">
          <cell r="K62">
            <v>-737.68110000000001</v>
          </cell>
        </row>
        <row r="64">
          <cell r="K64">
            <v>70939.206900000005</v>
          </cell>
        </row>
        <row r="65">
          <cell r="K65">
            <v>7000.9565000000002</v>
          </cell>
        </row>
        <row r="66">
          <cell r="K66">
            <v>583.41890000000001</v>
          </cell>
        </row>
        <row r="67">
          <cell r="K67">
            <v>1248.2237</v>
          </cell>
        </row>
        <row r="68">
          <cell r="K68">
            <v>-12300.5797</v>
          </cell>
        </row>
        <row r="69">
          <cell r="K69">
            <v>412.44299999999998</v>
          </cell>
        </row>
        <row r="70">
          <cell r="K70">
            <v>4081.2573000000002</v>
          </cell>
        </row>
        <row r="73">
          <cell r="K73">
            <v>6005.2519000000002</v>
          </cell>
        </row>
        <row r="75">
          <cell r="K75">
            <v>335.1576</v>
          </cell>
        </row>
        <row r="77">
          <cell r="K77">
            <v>907.75189999999998</v>
          </cell>
        </row>
        <row r="78">
          <cell r="K78">
            <v>574.41769999999997</v>
          </cell>
        </row>
      </sheetData>
      <sheetData sheetId="1"/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94"/>
  <sheetViews>
    <sheetView showGridLines="0" topLeftCell="A43" zoomScaleNormal="100" workbookViewId="0">
      <selection activeCell="A37" sqref="A37"/>
    </sheetView>
  </sheetViews>
  <sheetFormatPr defaultColWidth="11.42578125" defaultRowHeight="12" x14ac:dyDescent="0.2"/>
  <cols>
    <col min="1" max="2" width="4.85546875" style="3" customWidth="1"/>
    <col min="3" max="3" width="5" style="3" customWidth="1"/>
    <col min="4" max="4" width="4.42578125" style="3" customWidth="1"/>
    <col min="5" max="5" width="6.42578125" style="3" customWidth="1"/>
    <col min="6" max="6" width="7.85546875" style="3" customWidth="1"/>
    <col min="7" max="7" width="45.5703125" style="3" customWidth="1"/>
    <col min="8" max="11" width="17" style="3" customWidth="1"/>
    <col min="12" max="12" width="11.42578125" style="3"/>
    <col min="13" max="13" width="15.28515625" style="3" customWidth="1"/>
    <col min="14" max="16384" width="11.42578125" style="3"/>
  </cols>
  <sheetData>
    <row r="2" spans="2:12" x14ac:dyDescent="0.2">
      <c r="B2" s="1" t="s">
        <v>0</v>
      </c>
      <c r="C2" s="2"/>
      <c r="D2" s="2"/>
      <c r="E2" s="2"/>
      <c r="F2" s="2"/>
      <c r="G2" s="2"/>
      <c r="H2" s="2"/>
      <c r="I2" s="2"/>
      <c r="J2" s="2"/>
      <c r="K2" s="2"/>
    </row>
    <row r="3" spans="2:12" s="5" customFormat="1" x14ac:dyDescent="0.2">
      <c r="B3" s="4"/>
    </row>
    <row r="4" spans="2:12" ht="13.5" customHeight="1" x14ac:dyDescent="0.2">
      <c r="B4" s="6" t="s">
        <v>1</v>
      </c>
      <c r="C4" s="6"/>
      <c r="D4" s="6"/>
      <c r="E4" s="6"/>
      <c r="F4" s="6"/>
      <c r="G4" s="6" t="s">
        <v>2</v>
      </c>
      <c r="H4" s="7" t="s">
        <v>3</v>
      </c>
      <c r="I4" s="7"/>
      <c r="J4" s="7"/>
      <c r="K4" s="7"/>
    </row>
    <row r="5" spans="2:12" ht="12" customHeight="1" x14ac:dyDescent="0.2">
      <c r="B5" s="6"/>
      <c r="C5" s="6"/>
      <c r="D5" s="6"/>
      <c r="E5" s="6"/>
      <c r="F5" s="6"/>
      <c r="G5" s="6"/>
      <c r="H5" s="8">
        <v>2000</v>
      </c>
      <c r="I5" s="8">
        <v>2005</v>
      </c>
      <c r="J5" s="8">
        <v>2010</v>
      </c>
      <c r="K5" s="8">
        <v>2012</v>
      </c>
    </row>
    <row r="6" spans="2:12" s="5" customFormat="1" ht="23.25" customHeight="1" x14ac:dyDescent="0.2">
      <c r="B6" s="9" t="s">
        <v>4</v>
      </c>
      <c r="C6" s="9"/>
      <c r="D6" s="9"/>
      <c r="E6" s="9"/>
      <c r="F6" s="9"/>
      <c r="G6" s="9"/>
      <c r="H6" s="10">
        <f>H7+H34+H52+H59+H72</f>
        <v>166857.63582832817</v>
      </c>
      <c r="I6" s="10">
        <f>I7+I34+I52+I59+I72</f>
        <v>184910.61400527559</v>
      </c>
      <c r="J6" s="10">
        <f>J7+J34+J52+J59+J72</f>
        <v>170365.80582389003</v>
      </c>
      <c r="K6" s="10">
        <f>K7+K34+K52+K59+K72</f>
        <v>171309.56639999998</v>
      </c>
      <c r="L6" s="11"/>
    </row>
    <row r="7" spans="2:12" ht="12.75" x14ac:dyDescent="0.2">
      <c r="B7" s="12">
        <v>1</v>
      </c>
      <c r="C7" s="13"/>
      <c r="D7" s="13"/>
      <c r="E7" s="13"/>
      <c r="F7" s="14"/>
      <c r="G7" s="15" t="s">
        <v>5</v>
      </c>
      <c r="H7" s="16">
        <f>H8+H31</f>
        <v>28377.210297636986</v>
      </c>
      <c r="I7" s="16">
        <f>I8+I31</f>
        <v>30103.977599999998</v>
      </c>
      <c r="J7" s="16">
        <f>J8+J31</f>
        <v>42643.98101582357</v>
      </c>
      <c r="K7" s="16">
        <f>K8+K31</f>
        <v>44637.827799999992</v>
      </c>
      <c r="L7" s="17"/>
    </row>
    <row r="8" spans="2:12" x14ac:dyDescent="0.2">
      <c r="B8" s="18"/>
      <c r="C8" s="19" t="s">
        <v>6</v>
      </c>
      <c r="D8" s="19"/>
      <c r="E8" s="19"/>
      <c r="F8" s="20"/>
      <c r="G8" s="21" t="s">
        <v>7</v>
      </c>
      <c r="H8" s="22">
        <f>SUM(H9,H15,H18,H26)</f>
        <v>24095.642479693837</v>
      </c>
      <c r="I8" s="22">
        <f>SUM(I9,I15,I18,I26)</f>
        <v>26304.4221</v>
      </c>
      <c r="J8" s="22">
        <f>SUM(J9,J15,J18,J26)</f>
        <v>38604.941334211864</v>
      </c>
      <c r="K8" s="22">
        <f>SUM(K9,K15,K18,K26)</f>
        <v>41278.099999999991</v>
      </c>
      <c r="L8" s="23"/>
    </row>
    <row r="9" spans="2:12" x14ac:dyDescent="0.2">
      <c r="B9" s="18"/>
      <c r="C9" s="24"/>
      <c r="D9" s="25" t="s">
        <v>8</v>
      </c>
      <c r="E9" s="25"/>
      <c r="F9" s="26"/>
      <c r="G9" s="27" t="s">
        <v>9</v>
      </c>
      <c r="H9" s="28">
        <f>SUM(H10+H13+H14)</f>
        <v>2573.2626874667712</v>
      </c>
      <c r="I9" s="28">
        <f>SUM(I10+I13+I14)</f>
        <v>3437.0513999999998</v>
      </c>
      <c r="J9" s="28">
        <f>SUM(J10+J13+J14)</f>
        <v>11273.360650000002</v>
      </c>
      <c r="K9" s="28">
        <f>SUM(K10+K13+K14)</f>
        <v>11880.827600000001</v>
      </c>
      <c r="L9" s="23"/>
    </row>
    <row r="10" spans="2:12" x14ac:dyDescent="0.2">
      <c r="B10" s="18"/>
      <c r="C10" s="24"/>
      <c r="D10" s="24"/>
      <c r="E10" s="24" t="s">
        <v>10</v>
      </c>
      <c r="F10" s="29"/>
      <c r="G10" s="30" t="s">
        <v>11</v>
      </c>
      <c r="H10" s="31">
        <f>SUM(H11:H12)</f>
        <v>2030.2400257550275</v>
      </c>
      <c r="I10" s="31">
        <f>SUM(I11:I12)</f>
        <v>2827.5859</v>
      </c>
      <c r="J10" s="31">
        <f>SUM(J11:J12)</f>
        <v>7994.1828400000013</v>
      </c>
      <c r="K10" s="31">
        <f>SUM(K11:K12)</f>
        <v>8664.6571999999996</v>
      </c>
      <c r="L10" s="32"/>
    </row>
    <row r="11" spans="2:12" ht="17.25" thickBot="1" x14ac:dyDescent="0.25">
      <c r="B11" s="18"/>
      <c r="C11" s="24"/>
      <c r="D11" s="24"/>
      <c r="E11" s="24"/>
      <c r="F11" s="33" t="s">
        <v>12</v>
      </c>
      <c r="G11" s="30" t="s">
        <v>13</v>
      </c>
      <c r="H11" s="31">
        <f>'[2]Resumen (Gg y Mg)'!K10</f>
        <v>1772.763844696319</v>
      </c>
      <c r="I11" s="31">
        <f>'[3]Resumen (Gg y Mg)'!K10</f>
        <v>2722.1799000000001</v>
      </c>
      <c r="J11" s="31">
        <f>'[4]Resumen (Gg y Mg)'!K10</f>
        <v>7682.3572500000009</v>
      </c>
      <c r="K11" s="31">
        <f>'[5]Resumen (Gg y Mg)'!K10</f>
        <v>8478.7862000000005</v>
      </c>
    </row>
    <row r="12" spans="2:12" ht="13.5" customHeight="1" thickBot="1" x14ac:dyDescent="0.25">
      <c r="B12" s="18"/>
      <c r="C12" s="24"/>
      <c r="D12" s="24"/>
      <c r="E12" s="24"/>
      <c r="F12" s="33" t="s">
        <v>14</v>
      </c>
      <c r="G12" s="30" t="s">
        <v>15</v>
      </c>
      <c r="H12" s="31">
        <f>'[2]Resumen (Gg y Mg)'!K11</f>
        <v>257.47618105870851</v>
      </c>
      <c r="I12" s="31">
        <f>'[3]Resumen (Gg y Mg)'!K11</f>
        <v>105.40600000000001</v>
      </c>
      <c r="J12" s="31">
        <f>'[4]Resumen (Gg y Mg)'!K11</f>
        <v>311.82558999999998</v>
      </c>
      <c r="K12" s="31">
        <f>'[5]Resumen (Gg y Mg)'!K11</f>
        <v>185.87100000000001</v>
      </c>
    </row>
    <row r="13" spans="2:12" x14ac:dyDescent="0.2">
      <c r="B13" s="18"/>
      <c r="C13" s="24"/>
      <c r="D13" s="24"/>
      <c r="E13" s="24" t="s">
        <v>16</v>
      </c>
      <c r="F13" s="29"/>
      <c r="G13" s="30" t="s">
        <v>17</v>
      </c>
      <c r="H13" s="31">
        <f>'[2]Resumen (Gg y Mg)'!K12</f>
        <v>1.1706056716561548</v>
      </c>
      <c r="I13" s="31">
        <f>'[3]Resumen (Gg y Mg)'!K12</f>
        <v>137.14179999999999</v>
      </c>
      <c r="J13" s="31">
        <f>'[4]Resumen (Gg y Mg)'!K12</f>
        <v>2133.3508600000005</v>
      </c>
      <c r="K13" s="31">
        <f>'[5]Resumen (Gg y Mg)'!K12</f>
        <v>1914.9338</v>
      </c>
    </row>
    <row r="14" spans="2:12" ht="22.5" customHeight="1" x14ac:dyDescent="0.2">
      <c r="B14" s="18"/>
      <c r="C14" s="24"/>
      <c r="D14" s="24"/>
      <c r="E14" s="24" t="s">
        <v>18</v>
      </c>
      <c r="F14" s="29"/>
      <c r="G14" s="30" t="s">
        <v>19</v>
      </c>
      <c r="H14" s="31">
        <f>'[2]Resumen (Gg y Mg)'!K13</f>
        <v>541.85205604008729</v>
      </c>
      <c r="I14" s="31">
        <f>'[3]Resumen (Gg y Mg)'!K13</f>
        <v>472.32369999999997</v>
      </c>
      <c r="J14" s="31">
        <f>'[4]Resumen (Gg y Mg)'!K13</f>
        <v>1145.8269499999999</v>
      </c>
      <c r="K14" s="31">
        <f>'[5]Resumen (Gg y Mg)'!K13</f>
        <v>1301.2366</v>
      </c>
    </row>
    <row r="15" spans="2:12" ht="14.25" customHeight="1" x14ac:dyDescent="0.2">
      <c r="B15" s="18"/>
      <c r="C15" s="24"/>
      <c r="D15" s="25" t="s">
        <v>20</v>
      </c>
      <c r="E15" s="25"/>
      <c r="F15" s="26"/>
      <c r="G15" s="27" t="s">
        <v>21</v>
      </c>
      <c r="H15" s="28">
        <f>SUM(H16:H17)</f>
        <v>6827.8056809999998</v>
      </c>
      <c r="I15" s="28">
        <f>SUM(I16:I17)</f>
        <v>7638.5712999999996</v>
      </c>
      <c r="J15" s="28">
        <f>SUM(J16:J17)</f>
        <v>7547.3700699999999</v>
      </c>
      <c r="K15" s="28">
        <f>SUM(K16:K17)</f>
        <v>7808.8783999999996</v>
      </c>
    </row>
    <row r="16" spans="2:12" ht="14.25" customHeight="1" thickBot="1" x14ac:dyDescent="0.25">
      <c r="B16" s="18"/>
      <c r="C16" s="24"/>
      <c r="D16" s="24"/>
      <c r="E16" s="34" t="s">
        <v>22</v>
      </c>
      <c r="F16" s="35"/>
      <c r="G16" s="30" t="s">
        <v>23</v>
      </c>
      <c r="H16" s="31">
        <f>'[2]Resumen (Gg y Mg)'!K15</f>
        <v>2548.3940600000001</v>
      </c>
      <c r="I16" s="31">
        <f>'[3]Resumen (Gg y Mg)'!K15</f>
        <v>1959.4564</v>
      </c>
      <c r="J16" s="31">
        <f>'[4]Resumen (Gg y Mg)'!K15</f>
        <v>5856.6305000000002</v>
      </c>
      <c r="K16" s="31">
        <f>'[5]Resumen (Gg y Mg)'!K15</f>
        <v>6197.3658999999998</v>
      </c>
    </row>
    <row r="17" spans="2:17" ht="14.25" customHeight="1" thickBot="1" x14ac:dyDescent="0.25">
      <c r="B17" s="18"/>
      <c r="C17" s="24"/>
      <c r="D17" s="24"/>
      <c r="E17" s="34" t="s">
        <v>24</v>
      </c>
      <c r="F17" s="35"/>
      <c r="G17" s="30" t="s">
        <v>25</v>
      </c>
      <c r="H17" s="31">
        <f>'[2]Resumen (Gg y Mg)'!K16</f>
        <v>4279.4116210000002</v>
      </c>
      <c r="I17" s="31">
        <f>'[3]Resumen (Gg y Mg)'!K16</f>
        <v>5679.1148999999996</v>
      </c>
      <c r="J17" s="31">
        <f>'[4]Resumen (Gg y Mg)'!K16</f>
        <v>1690.73957</v>
      </c>
      <c r="K17" s="31">
        <f>'[5]Resumen (Gg y Mg)'!K16</f>
        <v>1611.5125</v>
      </c>
    </row>
    <row r="18" spans="2:17" x14ac:dyDescent="0.2">
      <c r="B18" s="18"/>
      <c r="C18" s="24"/>
      <c r="D18" s="25" t="s">
        <v>26</v>
      </c>
      <c r="E18" s="25"/>
      <c r="F18" s="26"/>
      <c r="G18" s="27" t="s">
        <v>27</v>
      </c>
      <c r="H18" s="28">
        <f>H19+SUM(H22:H25)</f>
        <v>9847.2808282270671</v>
      </c>
      <c r="I18" s="28">
        <f>I19+SUM(I22:I25)</f>
        <v>11886.954500000002</v>
      </c>
      <c r="J18" s="28">
        <f>J19+SUM(J22:J25)</f>
        <v>16424.359785859862</v>
      </c>
      <c r="K18" s="28">
        <f>K19+SUM(K22:K25)</f>
        <v>17846.935899999997</v>
      </c>
      <c r="L18" s="36"/>
    </row>
    <row r="19" spans="2:17" x14ac:dyDescent="0.2">
      <c r="B19" s="18"/>
      <c r="C19" s="24"/>
      <c r="D19" s="24"/>
      <c r="E19" s="24" t="s">
        <v>28</v>
      </c>
      <c r="F19" s="29"/>
      <c r="G19" s="30" t="s">
        <v>29</v>
      </c>
      <c r="H19" s="31">
        <f>'[2]Resumen (Gg y Mg)'!K18</f>
        <v>429.87977328359466</v>
      </c>
      <c r="I19" s="31">
        <f>'[3]Resumen (Gg y Mg)'!K18</f>
        <v>311.83819999999997</v>
      </c>
      <c r="J19" s="31">
        <f>'[4]Resumen (Gg y Mg)'!K18</f>
        <v>683.0512628683058</v>
      </c>
      <c r="K19" s="31">
        <f>'[5]Resumen (Gg y Mg)'!K18</f>
        <v>731.26130000000001</v>
      </c>
    </row>
    <row r="20" spans="2:17" ht="12.75" x14ac:dyDescent="0.2">
      <c r="B20" s="18"/>
      <c r="C20" s="24"/>
      <c r="D20" s="24"/>
      <c r="E20" s="24"/>
      <c r="F20" s="29" t="s">
        <v>30</v>
      </c>
      <c r="G20" s="30" t="s">
        <v>31</v>
      </c>
      <c r="H20" s="37"/>
      <c r="I20" s="37"/>
      <c r="J20" s="37"/>
      <c r="K20" s="37"/>
    </row>
    <row r="21" spans="2:17" ht="12.75" x14ac:dyDescent="0.2">
      <c r="B21" s="18"/>
      <c r="C21" s="24"/>
      <c r="D21" s="24"/>
      <c r="E21" s="24"/>
      <c r="F21" s="29" t="s">
        <v>32</v>
      </c>
      <c r="G21" s="30" t="s">
        <v>33</v>
      </c>
      <c r="H21" s="31">
        <f>'[2]Resumen (Gg y Mg)'!K20</f>
        <v>429.87977328359466</v>
      </c>
      <c r="I21" s="31">
        <f>'[3]Resumen (Gg y Mg)'!K20</f>
        <v>311.83819999999997</v>
      </c>
      <c r="J21" s="31">
        <f>'[4]Resumen (Gg y Mg)'!K20</f>
        <v>683.0512628683058</v>
      </c>
      <c r="K21" s="31">
        <f>'[5]Resumen (Gg y Mg)'!K20</f>
        <v>731.26130000000001</v>
      </c>
    </row>
    <row r="22" spans="2:17" x14ac:dyDescent="0.2">
      <c r="B22" s="18"/>
      <c r="C22" s="24"/>
      <c r="D22" s="24"/>
      <c r="E22" s="24" t="s">
        <v>34</v>
      </c>
      <c r="F22" s="29"/>
      <c r="G22" s="30" t="s">
        <v>35</v>
      </c>
      <c r="H22" s="31">
        <f>'[2]Resumen (Gg y Mg)'!K21</f>
        <v>9205.3890203634837</v>
      </c>
      <c r="I22" s="31">
        <f>'[3]Resumen (Gg y Mg)'!K21</f>
        <v>9857.9197000000004</v>
      </c>
      <c r="J22" s="31">
        <f>'[4]Resumen (Gg y Mg)'!K21</f>
        <v>13941.455202529149</v>
      </c>
      <c r="K22" s="31">
        <f>'[5]Resumen (Gg y Mg)'!K21</f>
        <v>15263.4774</v>
      </c>
      <c r="L22" s="11"/>
      <c r="M22" s="36"/>
    </row>
    <row r="23" spans="2:17" x14ac:dyDescent="0.2">
      <c r="B23" s="18"/>
      <c r="C23" s="24"/>
      <c r="D23" s="24"/>
      <c r="E23" s="24" t="s">
        <v>36</v>
      </c>
      <c r="F23" s="29"/>
      <c r="G23" s="30" t="s">
        <v>37</v>
      </c>
      <c r="H23" s="31">
        <f>'[2]Resumen (Gg y Mg)'!K22</f>
        <v>27.163032062837846</v>
      </c>
      <c r="I23" s="31">
        <f>'[3]Resumen (Gg y Mg)'!K22</f>
        <v>28.543600000000001</v>
      </c>
      <c r="J23" s="31">
        <f>'[4]Resumen (Gg y Mg)'!K22</f>
        <v>38.318751634539758</v>
      </c>
      <c r="K23" s="31">
        <f>'[5]Resumen (Gg y Mg)'!K22</f>
        <v>29.1386</v>
      </c>
    </row>
    <row r="24" spans="2:17" x14ac:dyDescent="0.2">
      <c r="B24" s="18"/>
      <c r="C24" s="24"/>
      <c r="D24" s="24"/>
      <c r="E24" s="24" t="s">
        <v>38</v>
      </c>
      <c r="F24" s="29"/>
      <c r="G24" s="30" t="s">
        <v>39</v>
      </c>
      <c r="H24" s="31">
        <f>'[2]Resumen (Gg y Mg)'!K23</f>
        <v>172.54340840316817</v>
      </c>
      <c r="I24" s="31">
        <f>'[3]Resumen (Gg y Mg)'!K23</f>
        <v>1678.7861</v>
      </c>
      <c r="J24" s="31">
        <f>'[4]Resumen (Gg y Mg)'!K23</f>
        <v>1752.6183691724077</v>
      </c>
      <c r="K24" s="31">
        <f>'[5]Resumen (Gg y Mg)'!K23</f>
        <v>1814.5498</v>
      </c>
    </row>
    <row r="25" spans="2:17" x14ac:dyDescent="0.2">
      <c r="B25" s="18"/>
      <c r="C25" s="24"/>
      <c r="D25" s="24"/>
      <c r="E25" s="24" t="s">
        <v>40</v>
      </c>
      <c r="F25" s="29"/>
      <c r="G25" s="30" t="s">
        <v>41</v>
      </c>
      <c r="H25" s="31">
        <f>'[2]Resumen (Gg y Mg)'!K24</f>
        <v>12.305594113985341</v>
      </c>
      <c r="I25" s="31">
        <f>'[3]Resumen (Gg y Mg)'!K24</f>
        <v>9.8668999999999993</v>
      </c>
      <c r="J25" s="31">
        <f>'[4]Resumen (Gg y Mg)'!K24</f>
        <v>8.9161996554619609</v>
      </c>
      <c r="K25" s="31">
        <f>'[5]Resumen (Gg y Mg)'!K24</f>
        <v>8.5088000000000008</v>
      </c>
    </row>
    <row r="26" spans="2:17" x14ac:dyDescent="0.2">
      <c r="B26" s="18"/>
      <c r="C26" s="24"/>
      <c r="D26" s="25" t="s">
        <v>42</v>
      </c>
      <c r="E26" s="25"/>
      <c r="F26" s="26"/>
      <c r="G26" s="27" t="s">
        <v>43</v>
      </c>
      <c r="H26" s="28">
        <f>SUM(H27:H30)</f>
        <v>4847.2932829999991</v>
      </c>
      <c r="I26" s="28">
        <f>SUM(I27:I30)</f>
        <v>3341.8448999999996</v>
      </c>
      <c r="J26" s="28">
        <f>SUM(J27:J30)</f>
        <v>3359.850828352</v>
      </c>
      <c r="K26" s="28">
        <f>SUM(K27:K30)</f>
        <v>3741.4580999999998</v>
      </c>
      <c r="M26" s="11">
        <f>H27/H6</f>
        <v>4.4183958878484531E-3</v>
      </c>
      <c r="N26" s="11">
        <f t="shared" ref="N26:P26" si="0">I27/I6</f>
        <v>3.38135754598793E-3</v>
      </c>
      <c r="O26" s="11">
        <f t="shared" si="0"/>
        <v>4.201094608690753E-3</v>
      </c>
      <c r="P26" s="11">
        <f t="shared" si="0"/>
        <v>4.7838425910580098E-3</v>
      </c>
    </row>
    <row r="27" spans="2:17" ht="13.5" x14ac:dyDescent="0.2">
      <c r="B27" s="18"/>
      <c r="C27" s="24"/>
      <c r="D27" s="24"/>
      <c r="E27" s="24" t="s">
        <v>164</v>
      </c>
      <c r="F27" s="29"/>
      <c r="G27" s="30" t="s">
        <v>163</v>
      </c>
      <c r="H27" s="31">
        <f>'[2]Resumen (Gg y Mg)'!K26</f>
        <v>737.24309199999993</v>
      </c>
      <c r="I27" s="31">
        <f>'[3]Resumen (Gg y Mg)'!K26</f>
        <v>625.24890000000005</v>
      </c>
      <c r="J27" s="31">
        <f>'[4]Resumen (Gg y Mg)'!K26</f>
        <v>715.72286835200009</v>
      </c>
      <c r="K27" s="31">
        <f>'[5]Resumen (Gg y Mg)'!K26</f>
        <v>819.51800000000003</v>
      </c>
      <c r="M27" s="11">
        <f>H27/H7</f>
        <v>2.5980111655351523E-2</v>
      </c>
      <c r="N27" s="11">
        <f t="shared" ref="N27:P27" si="1">I27/I7</f>
        <v>2.0769644075206862E-2</v>
      </c>
      <c r="O27" s="11">
        <f t="shared" si="1"/>
        <v>1.6783678523973229E-2</v>
      </c>
      <c r="P27" s="11">
        <f>K27/K7</f>
        <v>1.8359271505590604E-2</v>
      </c>
    </row>
    <row r="28" spans="2:17" ht="16.5" x14ac:dyDescent="0.2">
      <c r="B28" s="18"/>
      <c r="C28" s="24"/>
      <c r="D28" s="24"/>
      <c r="E28" s="24" t="s">
        <v>44</v>
      </c>
      <c r="F28" s="29"/>
      <c r="G28" s="30" t="s">
        <v>45</v>
      </c>
      <c r="H28" s="31">
        <f>'[2]Resumen (Gg y Mg)'!K27</f>
        <v>2844.2625799999996</v>
      </c>
      <c r="I28" s="31">
        <f>'[3]Resumen (Gg y Mg)'!K27</f>
        <v>1648.0024000000001</v>
      </c>
      <c r="J28" s="31">
        <f>'[4]Resumen (Gg y Mg)'!K27</f>
        <v>2063.1144300000001</v>
      </c>
      <c r="K28" s="31">
        <f>'[5]Resumen (Gg y Mg)'!K27</f>
        <v>2369.2307000000001</v>
      </c>
      <c r="M28" s="11"/>
    </row>
    <row r="29" spans="2:17" ht="16.5" x14ac:dyDescent="0.2">
      <c r="B29" s="18"/>
      <c r="C29" s="24"/>
      <c r="D29" s="24"/>
      <c r="E29" s="24" t="s">
        <v>46</v>
      </c>
      <c r="F29" s="29"/>
      <c r="G29" s="30" t="s">
        <v>47</v>
      </c>
      <c r="H29" s="31">
        <f>'[2]Resumen (Gg y Mg)'!K28</f>
        <v>198.75836299999997</v>
      </c>
      <c r="I29" s="31">
        <f>'[3]Resumen (Gg y Mg)'!K28</f>
        <v>105.7063</v>
      </c>
      <c r="J29" s="31">
        <f>'[4]Resumen (Gg y Mg)'!K28</f>
        <v>102.19959999999999</v>
      </c>
      <c r="K29" s="31">
        <f>'[5]Resumen (Gg y Mg)'!K28</f>
        <v>127.1416</v>
      </c>
      <c r="M29" s="11">
        <f>(I27/H27-1)/(I5-H5)</f>
        <v>-3.0381889831257957E-2</v>
      </c>
      <c r="N29" s="11">
        <f>(J27/I27-1)/(J5-I5)</f>
        <v>2.8940144749395012E-2</v>
      </c>
      <c r="O29" s="11">
        <f>(K27/J27-1)/(K5-J5)</f>
        <v>7.2510699488333552E-2</v>
      </c>
      <c r="P29" s="11"/>
      <c r="Q29" s="11">
        <f>AVEDEV(M29:O29)</f>
        <v>3.6047694200054325E-2</v>
      </c>
    </row>
    <row r="30" spans="2:17" ht="16.5" x14ac:dyDescent="0.2">
      <c r="B30" s="18"/>
      <c r="C30" s="24"/>
      <c r="D30" s="24"/>
      <c r="E30" s="24" t="s">
        <v>48</v>
      </c>
      <c r="F30" s="29"/>
      <c r="G30" s="30" t="s">
        <v>49</v>
      </c>
      <c r="H30" s="31">
        <f>'[2]Resumen (Gg y Mg)'!K29</f>
        <v>1067.0292480000001</v>
      </c>
      <c r="I30" s="31">
        <f>'[3]Resumen (Gg y Mg)'!K29</f>
        <v>962.88729999999998</v>
      </c>
      <c r="J30" s="31">
        <f>'[4]Resumen (Gg y Mg)'!K29</f>
        <v>478.81392999999997</v>
      </c>
      <c r="K30" s="31">
        <f>'[5]Resumen (Gg y Mg)'!K29</f>
        <v>425.56779999999998</v>
      </c>
      <c r="M30" s="11"/>
      <c r="N30" s="11"/>
      <c r="O30" s="11"/>
      <c r="P30" s="11"/>
    </row>
    <row r="31" spans="2:17" x14ac:dyDescent="0.2">
      <c r="B31" s="18"/>
      <c r="C31" s="19" t="s">
        <v>50</v>
      </c>
      <c r="D31" s="19"/>
      <c r="E31" s="19"/>
      <c r="F31" s="20"/>
      <c r="G31" s="21" t="s">
        <v>51</v>
      </c>
      <c r="H31" s="22">
        <f>SUM(H32:H33)</f>
        <v>4281.5678179431479</v>
      </c>
      <c r="I31" s="22">
        <f>SUM(I32:I33)</f>
        <v>3799.5554999999999</v>
      </c>
      <c r="J31" s="22">
        <f>SUM(J32:J33)</f>
        <v>4039.0396816117077</v>
      </c>
      <c r="K31" s="22">
        <f>SUM(K32:K33)</f>
        <v>3359.7278000000001</v>
      </c>
      <c r="M31" s="11"/>
      <c r="N31" s="11"/>
      <c r="O31" s="11"/>
      <c r="P31" s="11"/>
    </row>
    <row r="32" spans="2:17" x14ac:dyDescent="0.2">
      <c r="B32" s="18"/>
      <c r="C32" s="24"/>
      <c r="D32" s="25" t="s">
        <v>52</v>
      </c>
      <c r="E32" s="25"/>
      <c r="F32" s="26"/>
      <c r="G32" s="38" t="s">
        <v>53</v>
      </c>
      <c r="H32" s="31">
        <f>'[2]Resumen (Gg y Mg)'!K31</f>
        <v>5.2744383250000002</v>
      </c>
      <c r="I32" s="31">
        <f>'[3]Resumen (Gg y Mg)'!K31</f>
        <v>18.664999999999999</v>
      </c>
      <c r="J32" s="31">
        <f>'[4]Resumen (Gg y Mg)'!K31</f>
        <v>38.367077171849999</v>
      </c>
      <c r="K32" s="31">
        <f>'[5]Resumen (Gg y Mg)'!K31</f>
        <v>72.005499999999998</v>
      </c>
    </row>
    <row r="33" spans="2:12" x14ac:dyDescent="0.2">
      <c r="B33" s="39"/>
      <c r="C33" s="40"/>
      <c r="D33" s="41" t="s">
        <v>54</v>
      </c>
      <c r="E33" s="41"/>
      <c r="F33" s="42"/>
      <c r="G33" s="38" t="s">
        <v>55</v>
      </c>
      <c r="H33" s="31">
        <f>'[2]Resumen (Gg y Mg)'!K32</f>
        <v>4276.2933796181478</v>
      </c>
      <c r="I33" s="31">
        <f>'[3]Resumen (Gg y Mg)'!K32</f>
        <v>3780.8905</v>
      </c>
      <c r="J33" s="31">
        <f>'[4]Resumen (Gg y Mg)'!K32</f>
        <v>4000.6726044398579</v>
      </c>
      <c r="K33" s="31">
        <f>'[5]Resumen (Gg y Mg)'!K32</f>
        <v>3287.7222999999999</v>
      </c>
    </row>
    <row r="34" spans="2:12" ht="12.75" x14ac:dyDescent="0.2">
      <c r="B34" s="43">
        <v>2</v>
      </c>
      <c r="C34" s="44"/>
      <c r="D34" s="44"/>
      <c r="E34" s="44"/>
      <c r="F34" s="45"/>
      <c r="G34" s="46" t="s">
        <v>56</v>
      </c>
      <c r="H34" s="47">
        <f>H35+H41+H46</f>
        <v>2574.8775578281584</v>
      </c>
      <c r="I34" s="47">
        <f>I35+I41+I46</f>
        <v>3509.1803999999997</v>
      </c>
      <c r="J34" s="47">
        <f>J35+J41+J46</f>
        <v>5011.5610885641399</v>
      </c>
      <c r="K34" s="47">
        <f>K35+K41+K46</f>
        <v>6063.5376000000006</v>
      </c>
    </row>
    <row r="35" spans="2:12" x14ac:dyDescent="0.2">
      <c r="B35" s="48"/>
      <c r="C35" s="49" t="s">
        <v>57</v>
      </c>
      <c r="D35" s="50"/>
      <c r="E35" s="50"/>
      <c r="F35" s="51"/>
      <c r="G35" s="52" t="s">
        <v>58</v>
      </c>
      <c r="H35" s="53">
        <f>SUM(H36:H38)</f>
        <v>1921.9243137621415</v>
      </c>
      <c r="I35" s="53">
        <f>SUM(I36:I38)</f>
        <v>2642.2740999999996</v>
      </c>
      <c r="J35" s="53">
        <f>SUM(J36:J38)</f>
        <v>3790.5309432125096</v>
      </c>
      <c r="K35" s="53">
        <f>SUM(K36:K38)</f>
        <v>4518.2026000000005</v>
      </c>
      <c r="L35" s="11"/>
    </row>
    <row r="36" spans="2:12" x14ac:dyDescent="0.2">
      <c r="B36" s="48"/>
      <c r="C36" s="50"/>
      <c r="D36" s="50" t="s">
        <v>59</v>
      </c>
      <c r="E36" s="54"/>
      <c r="F36" s="55"/>
      <c r="G36" s="56" t="s">
        <v>60</v>
      </c>
      <c r="H36" s="31">
        <f>'[2]Resumen (Gg y Mg)'!K35</f>
        <v>1711.125525258474</v>
      </c>
      <c r="I36" s="31">
        <f>'[3]Resumen (Gg y Mg)'!K35</f>
        <v>2365.4823999999999</v>
      </c>
      <c r="J36" s="31">
        <f>'[4]Resumen (Gg y Mg)'!K35</f>
        <v>3266.7045322489384</v>
      </c>
      <c r="K36" s="31">
        <f>'[5]Resumen (Gg y Mg)'!K35</f>
        <v>3812.8955999999998</v>
      </c>
      <c r="L36" s="11"/>
    </row>
    <row r="37" spans="2:12" x14ac:dyDescent="0.2">
      <c r="B37" s="48"/>
      <c r="C37" s="50"/>
      <c r="D37" s="50" t="s">
        <v>61</v>
      </c>
      <c r="E37" s="54"/>
      <c r="F37" s="55"/>
      <c r="G37" s="56" t="s">
        <v>62</v>
      </c>
      <c r="H37" s="31">
        <f>'[2]Resumen (Gg y Mg)'!K36</f>
        <v>107.79289499999999</v>
      </c>
      <c r="I37" s="31">
        <f>'[3]Resumen (Gg y Mg)'!K36</f>
        <v>101.3109</v>
      </c>
      <c r="J37" s="31">
        <f>'[4]Resumen (Gg y Mg)'!K36</f>
        <v>243.87355355944442</v>
      </c>
      <c r="K37" s="31">
        <f>'[5]Resumen (Gg y Mg)'!K36</f>
        <v>325.37560000000002</v>
      </c>
      <c r="L37" s="11"/>
    </row>
    <row r="38" spans="2:12" x14ac:dyDescent="0.2">
      <c r="B38" s="48"/>
      <c r="C38" s="50"/>
      <c r="D38" s="50" t="s">
        <v>63</v>
      </c>
      <c r="E38" s="54"/>
      <c r="F38" s="55"/>
      <c r="G38" s="56" t="s">
        <v>64</v>
      </c>
      <c r="H38" s="57">
        <f>SUM(H39:H40)</f>
        <v>103.00589350366751</v>
      </c>
      <c r="I38" s="57">
        <f>SUM(I39:I40)</f>
        <v>175.48080000000002</v>
      </c>
      <c r="J38" s="57">
        <f>SUM(J39:J40)</f>
        <v>279.95285740412709</v>
      </c>
      <c r="K38" s="57">
        <f>SUM(K39:K40)</f>
        <v>379.9314</v>
      </c>
      <c r="L38" s="11"/>
    </row>
    <row r="39" spans="2:12" x14ac:dyDescent="0.2">
      <c r="B39" s="48"/>
      <c r="C39" s="50"/>
      <c r="D39" s="50"/>
      <c r="E39" s="50" t="s">
        <v>65</v>
      </c>
      <c r="F39" s="55"/>
      <c r="G39" s="56" t="s">
        <v>66</v>
      </c>
      <c r="H39" s="31">
        <f>'[2]Resumen (Gg y Mg)'!K38</f>
        <v>93.824543743667505</v>
      </c>
      <c r="I39" s="31">
        <f>'[3]Resumen (Gg y Mg)'!K38</f>
        <v>159.86940000000001</v>
      </c>
      <c r="J39" s="31">
        <f>'[4]Resumen (Gg y Mg)'!K38</f>
        <v>249.5466899641271</v>
      </c>
      <c r="K39" s="31">
        <f>'[5]Resumen (Gg y Mg)'!K38</f>
        <v>352.97699999999998</v>
      </c>
      <c r="L39" s="11"/>
    </row>
    <row r="40" spans="2:12" x14ac:dyDescent="0.2">
      <c r="B40" s="48"/>
      <c r="C40" s="50"/>
      <c r="D40" s="50"/>
      <c r="E40" s="50" t="s">
        <v>67</v>
      </c>
      <c r="F40" s="55"/>
      <c r="G40" s="58" t="s">
        <v>68</v>
      </c>
      <c r="H40" s="31">
        <f>'[2]Resumen (Gg y Mg)'!K39</f>
        <v>9.1813497600000016</v>
      </c>
      <c r="I40" s="31">
        <f>'[3]Resumen (Gg y Mg)'!K39</f>
        <v>15.6114</v>
      </c>
      <c r="J40" s="31">
        <f>'[4]Resumen (Gg y Mg)'!K39</f>
        <v>30.406167440000001</v>
      </c>
      <c r="K40" s="31">
        <f>'[5]Resumen (Gg y Mg)'!K39</f>
        <v>26.9544</v>
      </c>
    </row>
    <row r="41" spans="2:12" x14ac:dyDescent="0.2">
      <c r="B41" s="48"/>
      <c r="C41" s="49" t="s">
        <v>69</v>
      </c>
      <c r="D41" s="50"/>
      <c r="E41" s="50"/>
      <c r="F41" s="51"/>
      <c r="G41" s="52" t="s">
        <v>70</v>
      </c>
      <c r="H41" s="53">
        <f>SUM(H42:H45)</f>
        <v>4.455482066016863</v>
      </c>
      <c r="I41" s="53">
        <f>SUM(I42:I45)</f>
        <v>4.7722999999999995</v>
      </c>
      <c r="J41" s="53">
        <f>SUM(J42:J45)</f>
        <v>8.3677511200000012</v>
      </c>
      <c r="K41" s="53">
        <f>SUM(K42:K45)</f>
        <v>10.967700000000001</v>
      </c>
    </row>
    <row r="42" spans="2:12" x14ac:dyDescent="0.2">
      <c r="B42" s="48"/>
      <c r="C42" s="50"/>
      <c r="D42" s="50" t="s">
        <v>71</v>
      </c>
      <c r="E42" s="54"/>
      <c r="F42" s="55"/>
      <c r="G42" s="56" t="s">
        <v>72</v>
      </c>
      <c r="H42" s="31">
        <f>'[2]Resumen (Gg y Mg)'!K41</f>
        <v>0.96993249901305356</v>
      </c>
      <c r="I42" s="31">
        <f>'[3]Resumen (Gg y Mg)'!K41</f>
        <v>1.0388999999999999</v>
      </c>
      <c r="J42" s="31">
        <f>'[4]Resumen (Gg y Mg)'!K41</f>
        <v>1.8891457199999999</v>
      </c>
      <c r="K42" s="31">
        <f>'[5]Resumen (Gg y Mg)'!K41</f>
        <v>2.3875999999999999</v>
      </c>
    </row>
    <row r="43" spans="2:12" x14ac:dyDescent="0.2">
      <c r="B43" s="48"/>
      <c r="C43" s="50"/>
      <c r="D43" s="50" t="s">
        <v>73</v>
      </c>
      <c r="E43" s="54"/>
      <c r="F43" s="55"/>
      <c r="G43" s="56" t="s">
        <v>74</v>
      </c>
      <c r="H43" s="31">
        <f>'[2]Resumen (Gg y Mg)'!K42</f>
        <v>0</v>
      </c>
      <c r="I43" s="31">
        <f>'[3]Resumen (Gg y Mg)'!K42</f>
        <v>0</v>
      </c>
      <c r="J43" s="31">
        <f>'[4]Resumen (Gg y Mg)'!K42</f>
        <v>0</v>
      </c>
      <c r="K43" s="31">
        <f>'[5]Resumen (Gg y Mg)'!K42</f>
        <v>0</v>
      </c>
    </row>
    <row r="44" spans="2:12" x14ac:dyDescent="0.2">
      <c r="B44" s="48"/>
      <c r="C44" s="50"/>
      <c r="D44" s="50" t="s">
        <v>75</v>
      </c>
      <c r="E44" s="54"/>
      <c r="F44" s="55"/>
      <c r="G44" s="56" t="s">
        <v>76</v>
      </c>
      <c r="H44" s="31">
        <f>'[2]Resumen (Gg y Mg)'!K43</f>
        <v>0</v>
      </c>
      <c r="I44" s="31">
        <f>'[3]Resumen (Gg y Mg)'!K43</f>
        <v>0</v>
      </c>
      <c r="J44" s="31">
        <f>'[4]Resumen (Gg y Mg)'!K43</f>
        <v>0</v>
      </c>
      <c r="K44" s="31">
        <f>'[5]Resumen (Gg y Mg)'!K43</f>
        <v>0</v>
      </c>
    </row>
    <row r="45" spans="2:12" x14ac:dyDescent="0.2">
      <c r="B45" s="48"/>
      <c r="C45" s="50"/>
      <c r="D45" s="50" t="s">
        <v>77</v>
      </c>
      <c r="E45" s="54"/>
      <c r="F45" s="55"/>
      <c r="G45" s="58" t="s">
        <v>78</v>
      </c>
      <c r="H45" s="31">
        <f>'[2]Resumen (Gg y Mg)'!K44</f>
        <v>3.485549567003809</v>
      </c>
      <c r="I45" s="31">
        <f>'[3]Resumen (Gg y Mg)'!K44</f>
        <v>3.7334000000000001</v>
      </c>
      <c r="J45" s="31">
        <f>'[4]Resumen (Gg y Mg)'!K44</f>
        <v>6.4786054000000011</v>
      </c>
      <c r="K45" s="31">
        <f>'[5]Resumen (Gg y Mg)'!K44</f>
        <v>8.5800999999999998</v>
      </c>
    </row>
    <row r="46" spans="2:12" x14ac:dyDescent="0.2">
      <c r="B46" s="48"/>
      <c r="C46" s="49" t="s">
        <v>79</v>
      </c>
      <c r="D46" s="50"/>
      <c r="E46" s="50"/>
      <c r="F46" s="51"/>
      <c r="G46" s="52" t="s">
        <v>80</v>
      </c>
      <c r="H46" s="53">
        <f>SUM(H47:H51)</f>
        <v>648.49776199999997</v>
      </c>
      <c r="I46" s="53">
        <f>SUM(I47:I51)</f>
        <v>862.13400000000001</v>
      </c>
      <c r="J46" s="53">
        <f>SUM(J47:J51)</f>
        <v>1212.6623942316301</v>
      </c>
      <c r="K46" s="53">
        <f>SUM(K47:K51)</f>
        <v>1534.3672999999999</v>
      </c>
    </row>
    <row r="47" spans="2:12" x14ac:dyDescent="0.2">
      <c r="B47" s="48"/>
      <c r="C47" s="50"/>
      <c r="D47" s="50" t="s">
        <v>81</v>
      </c>
      <c r="E47" s="50"/>
      <c r="F47" s="51"/>
      <c r="G47" s="56" t="s">
        <v>82</v>
      </c>
      <c r="H47" s="31">
        <f>'[2]Resumen (Gg y Mg)'!K46</f>
        <v>506.35319000000004</v>
      </c>
      <c r="I47" s="31">
        <f>'[3]Resumen (Gg y Mg)'!K46</f>
        <v>692.18520000000001</v>
      </c>
      <c r="J47" s="31">
        <f>'[4]Resumen (Gg y Mg)'!K46</f>
        <v>1071.4653000000001</v>
      </c>
      <c r="K47" s="31">
        <f>'[5]Resumen (Gg y Mg)'!K46</f>
        <v>1390.0449000000001</v>
      </c>
      <c r="L47" s="11"/>
    </row>
    <row r="48" spans="2:12" x14ac:dyDescent="0.2">
      <c r="B48" s="48"/>
      <c r="C48" s="50"/>
      <c r="D48" s="50" t="s">
        <v>83</v>
      </c>
      <c r="E48" s="50"/>
      <c r="F48" s="51"/>
      <c r="G48" s="56" t="s">
        <v>84</v>
      </c>
      <c r="H48" s="31">
        <f>'[2]Resumen (Gg y Mg)'!K47</f>
        <v>0</v>
      </c>
      <c r="I48" s="31">
        <f>'[3]Resumen (Gg y Mg)'!K47</f>
        <v>0</v>
      </c>
      <c r="J48" s="31">
        <f>'[4]Resumen (Gg y Mg)'!K47</f>
        <v>0</v>
      </c>
      <c r="K48" s="31">
        <f>'[5]Resumen (Gg y Mg)'!K47</f>
        <v>0</v>
      </c>
    </row>
    <row r="49" spans="2:13" x14ac:dyDescent="0.2">
      <c r="B49" s="48"/>
      <c r="C49" s="50"/>
      <c r="D49" s="50" t="s">
        <v>85</v>
      </c>
      <c r="E49" s="50"/>
      <c r="F49" s="51"/>
      <c r="G49" s="56" t="s">
        <v>86</v>
      </c>
      <c r="H49" s="31">
        <f>'[2]Resumen (Gg y Mg)'!K48</f>
        <v>1.4450000000000001</v>
      </c>
      <c r="I49" s="31">
        <f>'[3]Resumen (Gg y Mg)'!K48</f>
        <v>3.8776999999999999</v>
      </c>
      <c r="J49" s="31">
        <f>'[4]Resumen (Gg y Mg)'!K48</f>
        <v>4.9624992187500006</v>
      </c>
      <c r="K49" s="31">
        <f>'[5]Resumen (Gg y Mg)'!K48</f>
        <v>4.2682000000000002</v>
      </c>
    </row>
    <row r="50" spans="2:13" x14ac:dyDescent="0.2">
      <c r="B50" s="48"/>
      <c r="C50" s="50"/>
      <c r="D50" s="50" t="s">
        <v>87</v>
      </c>
      <c r="E50" s="50"/>
      <c r="F50" s="51"/>
      <c r="G50" s="56" t="s">
        <v>88</v>
      </c>
      <c r="H50" s="31">
        <f>'[2]Resumen (Gg y Mg)'!K49</f>
        <v>140.69957199999999</v>
      </c>
      <c r="I50" s="31">
        <f>'[3]Resumen (Gg y Mg)'!K49</f>
        <v>166.0711</v>
      </c>
      <c r="J50" s="31">
        <f>'[4]Resumen (Gg y Mg)'!K49</f>
        <v>136.23459501288002</v>
      </c>
      <c r="K50" s="31">
        <f>'[5]Resumen (Gg y Mg)'!K49</f>
        <v>131.6362</v>
      </c>
      <c r="L50" s="11"/>
      <c r="M50" s="11"/>
    </row>
    <row r="51" spans="2:13" x14ac:dyDescent="0.2">
      <c r="B51" s="59"/>
      <c r="C51" s="60"/>
      <c r="D51" s="60" t="s">
        <v>89</v>
      </c>
      <c r="E51" s="60"/>
      <c r="F51" s="61"/>
      <c r="G51" s="56" t="s">
        <v>90</v>
      </c>
      <c r="H51" s="31">
        <f>'[2]Resumen (Gg y Mg)'!K50</f>
        <v>0</v>
      </c>
      <c r="I51" s="31">
        <f>'[3]Resumen (Gg y Mg)'!K50</f>
        <v>0</v>
      </c>
      <c r="J51" s="31">
        <f>'[4]Resumen (Gg y Mg)'!K50</f>
        <v>0</v>
      </c>
      <c r="K51" s="31">
        <f>'[5]Resumen (Gg y Mg)'!K50</f>
        <v>8.4179999999999993</v>
      </c>
      <c r="L51" s="11"/>
    </row>
    <row r="52" spans="2:13" ht="12" customHeight="1" x14ac:dyDescent="0.2">
      <c r="B52" s="62">
        <v>4</v>
      </c>
      <c r="C52" s="63"/>
      <c r="D52" s="63"/>
      <c r="E52" s="63"/>
      <c r="F52" s="64"/>
      <c r="G52" s="65" t="s">
        <v>91</v>
      </c>
      <c r="H52" s="66">
        <f>SUM(H53:H58)</f>
        <v>23463.713468320191</v>
      </c>
      <c r="I52" s="66">
        <f>SUM(I53:I58)</f>
        <v>24576.517199999998</v>
      </c>
      <c r="J52" s="66">
        <f>SUM(J53:J58)</f>
        <v>25783.38611438145</v>
      </c>
      <c r="K52" s="66">
        <f>SUM(K53:K58)</f>
        <v>26043.680100000001</v>
      </c>
      <c r="L52" s="17"/>
    </row>
    <row r="53" spans="2:13" ht="12.75" x14ac:dyDescent="0.2">
      <c r="B53" s="67"/>
      <c r="C53" s="68" t="s">
        <v>92</v>
      </c>
      <c r="D53" s="68"/>
      <c r="E53" s="68"/>
      <c r="F53" s="69"/>
      <c r="G53" s="70" t="s">
        <v>93</v>
      </c>
      <c r="H53" s="31">
        <f>'[2]Resumen (Gg y Mg)'!K52</f>
        <v>10049.827160869676</v>
      </c>
      <c r="I53" s="31">
        <f>'[3]Resumen (Gg y Mg)'!K52</f>
        <v>10496.607400000001</v>
      </c>
      <c r="J53" s="31">
        <f>'[4]Resumen (Gg y Mg)'!K52</f>
        <v>10836.422517194082</v>
      </c>
      <c r="K53" s="31">
        <f>'[5]Resumen (Gg y Mg)'!K52</f>
        <v>10735.142900000001</v>
      </c>
      <c r="L53" s="17"/>
      <c r="M53" s="11"/>
    </row>
    <row r="54" spans="2:13" x14ac:dyDescent="0.2">
      <c r="B54" s="67"/>
      <c r="C54" s="68" t="s">
        <v>94</v>
      </c>
      <c r="D54" s="68"/>
      <c r="E54" s="68"/>
      <c r="F54" s="69"/>
      <c r="G54" s="70" t="s">
        <v>95</v>
      </c>
      <c r="H54" s="31">
        <f>'[2]Resumen (Gg y Mg)'!K53</f>
        <v>1022.3445355271498</v>
      </c>
      <c r="I54" s="31">
        <f>'[3]Resumen (Gg y Mg)'!K53</f>
        <v>1111.1261</v>
      </c>
      <c r="J54" s="31">
        <f>'[4]Resumen (Gg y Mg)'!K53</f>
        <v>1304.498251809847</v>
      </c>
      <c r="K54" s="31">
        <f>'[5]Resumen (Gg y Mg)'!K53</f>
        <v>1318.6631</v>
      </c>
      <c r="M54" s="11"/>
    </row>
    <row r="55" spans="2:13" x14ac:dyDescent="0.2">
      <c r="B55" s="67"/>
      <c r="C55" s="68" t="s">
        <v>96</v>
      </c>
      <c r="D55" s="68"/>
      <c r="E55" s="68"/>
      <c r="F55" s="69"/>
      <c r="G55" s="70" t="s">
        <v>97</v>
      </c>
      <c r="H55" s="31">
        <f>'[2]Resumen (Gg y Mg)'!K54</f>
        <v>828.3761457720002</v>
      </c>
      <c r="I55" s="31">
        <f>'[3]Resumen (Gg y Mg)'!K54</f>
        <v>1059.6916000000001</v>
      </c>
      <c r="J55" s="31">
        <f>'[4]Resumen (Gg y Mg)'!K54</f>
        <v>1149.1879660800003</v>
      </c>
      <c r="K55" s="31">
        <f>'[5]Resumen (Gg y Mg)'!K54</f>
        <v>1171.2722000000001</v>
      </c>
      <c r="M55" s="11"/>
    </row>
    <row r="56" spans="2:13" x14ac:dyDescent="0.2">
      <c r="B56" s="67"/>
      <c r="C56" s="68" t="s">
        <v>98</v>
      </c>
      <c r="D56" s="68"/>
      <c r="E56" s="68"/>
      <c r="F56" s="69"/>
      <c r="G56" s="70" t="s">
        <v>99</v>
      </c>
      <c r="H56" s="31">
        <f>'[2]Resumen (Gg y Mg)'!K55</f>
        <v>10919.372980549273</v>
      </c>
      <c r="I56" s="31">
        <f>'[3]Resumen (Gg y Mg)'!K55</f>
        <v>11249.061799999999</v>
      </c>
      <c r="J56" s="31">
        <f>'[4]Resumen (Gg y Mg)'!K55</f>
        <v>11906.64632925648</v>
      </c>
      <c r="K56" s="31">
        <f>'[5]Resumen (Gg y Mg)'!K55</f>
        <v>12195.5661</v>
      </c>
      <c r="L56" s="11"/>
      <c r="M56" s="11"/>
    </row>
    <row r="57" spans="2:13" x14ac:dyDescent="0.2">
      <c r="B57" s="67"/>
      <c r="C57" s="68" t="s">
        <v>100</v>
      </c>
      <c r="D57" s="68"/>
      <c r="E57" s="68"/>
      <c r="F57" s="69"/>
      <c r="G57" s="70" t="s">
        <v>101</v>
      </c>
      <c r="H57" s="31">
        <f>'[2]Resumen (Gg y Mg)'!K56</f>
        <v>501.08202648122085</v>
      </c>
      <c r="I57" s="31">
        <f>'[3]Resumen (Gg y Mg)'!K56</f>
        <v>434.05349999999999</v>
      </c>
      <c r="J57" s="31">
        <f>'[4]Resumen (Gg y Mg)'!K56</f>
        <v>360.43091108271835</v>
      </c>
      <c r="K57" s="31">
        <f>'[5]Resumen (Gg y Mg)'!K56</f>
        <v>365.70620000000002</v>
      </c>
      <c r="M57" s="11"/>
    </row>
    <row r="58" spans="2:13" x14ac:dyDescent="0.2">
      <c r="B58" s="67"/>
      <c r="C58" s="68" t="s">
        <v>102</v>
      </c>
      <c r="D58" s="68"/>
      <c r="E58" s="68"/>
      <c r="F58" s="69"/>
      <c r="G58" s="70" t="s">
        <v>103</v>
      </c>
      <c r="H58" s="31">
        <f>'[2]Resumen (Gg y Mg)'!K57</f>
        <v>142.71061912086805</v>
      </c>
      <c r="I58" s="31">
        <f>'[3]Resumen (Gg y Mg)'!K57</f>
        <v>225.9768</v>
      </c>
      <c r="J58" s="31">
        <f>'[4]Resumen (Gg y Mg)'!K57</f>
        <v>226.20013895831886</v>
      </c>
      <c r="K58" s="31">
        <f>'[5]Resumen (Gg y Mg)'!K57</f>
        <v>257.32960000000003</v>
      </c>
      <c r="M58" s="11"/>
    </row>
    <row r="59" spans="2:13" ht="25.5" x14ac:dyDescent="0.2">
      <c r="B59" s="71">
        <v>5</v>
      </c>
      <c r="C59" s="72"/>
      <c r="D59" s="72"/>
      <c r="E59" s="72"/>
      <c r="F59" s="73"/>
      <c r="G59" s="74" t="s">
        <v>104</v>
      </c>
      <c r="H59" s="75">
        <f>H60+H64+SUM(H69:H71)</f>
        <v>107208.32101025408</v>
      </c>
      <c r="I59" s="75">
        <f>I60+I64+SUM(I69:I71)</f>
        <v>121034.6876052756</v>
      </c>
      <c r="J59" s="75">
        <f>J60+J64+SUM(J69:J71)</f>
        <v>89907.162020364194</v>
      </c>
      <c r="K59" s="75">
        <f>K60+K64+SUM(K69:K71)</f>
        <v>86741.941800000001</v>
      </c>
      <c r="L59" s="17"/>
    </row>
    <row r="60" spans="2:13" ht="12" customHeight="1" x14ac:dyDescent="0.2">
      <c r="B60" s="76"/>
      <c r="C60" s="77" t="s">
        <v>105</v>
      </c>
      <c r="D60" s="77"/>
      <c r="E60" s="77"/>
      <c r="F60" s="78"/>
      <c r="G60" s="79" t="s">
        <v>106</v>
      </c>
      <c r="H60" s="80">
        <f>SUM(H61:H63)</f>
        <v>25909.624687886982</v>
      </c>
      <c r="I60" s="80">
        <f>SUM(I61:I63)</f>
        <v>51919.783507754226</v>
      </c>
      <c r="J60" s="80">
        <f>SUM(J61:J63)</f>
        <v>13169.815110555703</v>
      </c>
      <c r="K60" s="80">
        <f>SUM(K61:K63)</f>
        <v>14777.0152</v>
      </c>
    </row>
    <row r="61" spans="2:13" x14ac:dyDescent="0.2">
      <c r="B61" s="76"/>
      <c r="C61" s="77"/>
      <c r="D61" s="77" t="s">
        <v>107</v>
      </c>
      <c r="E61" s="77"/>
      <c r="F61" s="78"/>
      <c r="G61" s="81" t="s">
        <v>108</v>
      </c>
      <c r="H61" s="31">
        <f>'[2]Resumen (Gg y Mg)'!K60</f>
        <v>29184.514746412326</v>
      </c>
      <c r="I61" s="31">
        <f>'[3]Resumen (Gg y Mg)'!K60</f>
        <v>54502.58034862201</v>
      </c>
      <c r="J61" s="31">
        <f>'[4]Resumen (Gg y Mg)'!K60</f>
        <v>17110.564556106558</v>
      </c>
      <c r="K61" s="31">
        <f>'[5]Resumen (Gg y Mg)'!K60</f>
        <v>18700.4935</v>
      </c>
    </row>
    <row r="62" spans="2:13" x14ac:dyDescent="0.2">
      <c r="B62" s="76"/>
      <c r="C62" s="77"/>
      <c r="D62" s="77" t="s">
        <v>109</v>
      </c>
      <c r="E62" s="77"/>
      <c r="F62" s="78"/>
      <c r="G62" s="81" t="s">
        <v>110</v>
      </c>
      <c r="H62" s="31">
        <f>'[2]Resumen (Gg y Mg)'!K61</f>
        <v>-2980.502979458679</v>
      </c>
      <c r="I62" s="31">
        <f>'[3]Resumen (Gg y Mg)'!K61</f>
        <v>-2498.8660158677799</v>
      </c>
      <c r="J62" s="31">
        <f>'[4]Resumen (Gg y Mg)'!K61</f>
        <v>-3456.5887575508541</v>
      </c>
      <c r="K62" s="31">
        <f>'[5]Resumen (Gg y Mg)'!K61</f>
        <v>-3185.7972</v>
      </c>
    </row>
    <row r="63" spans="2:13" x14ac:dyDescent="0.2">
      <c r="B63" s="76"/>
      <c r="C63" s="77"/>
      <c r="D63" s="77" t="s">
        <v>111</v>
      </c>
      <c r="E63" s="77"/>
      <c r="F63" s="78"/>
      <c r="G63" s="81" t="s">
        <v>112</v>
      </c>
      <c r="H63" s="31">
        <f>'[2]Resumen (Gg y Mg)'!K62</f>
        <v>-294.38707906666718</v>
      </c>
      <c r="I63" s="31">
        <f>'[3]Resumen (Gg y Mg)'!K62</f>
        <v>-83.93082500000034</v>
      </c>
      <c r="J63" s="31">
        <f>'[4]Resumen (Gg y Mg)'!K62</f>
        <v>-484.16068800000176</v>
      </c>
      <c r="K63" s="31">
        <f>'[5]Resumen (Gg y Mg)'!K62</f>
        <v>-737.68110000000001</v>
      </c>
    </row>
    <row r="64" spans="2:13" x14ac:dyDescent="0.2">
      <c r="B64" s="76"/>
      <c r="C64" s="77" t="s">
        <v>113</v>
      </c>
      <c r="D64" s="77"/>
      <c r="E64" s="77"/>
      <c r="F64" s="78"/>
      <c r="G64" s="79" t="s">
        <v>114</v>
      </c>
      <c r="H64" s="80">
        <f>SUM(H65:H68)</f>
        <v>100346.14412993535</v>
      </c>
      <c r="I64" s="80">
        <f>SUM(I65:I68)</f>
        <v>75911.120105154187</v>
      </c>
      <c r="J64" s="80">
        <f>SUM(J65:J68)</f>
        <v>83238.357455698031</v>
      </c>
      <c r="K64" s="80">
        <f>SUM(K65:K68)</f>
        <v>79771.806000000011</v>
      </c>
    </row>
    <row r="65" spans="2:12" x14ac:dyDescent="0.2">
      <c r="B65" s="76"/>
      <c r="C65" s="77"/>
      <c r="D65" s="77" t="s">
        <v>115</v>
      </c>
      <c r="E65" s="77"/>
      <c r="F65" s="78"/>
      <c r="G65" s="81" t="s">
        <v>116</v>
      </c>
      <c r="H65" s="31">
        <f>'[2]Resumen (Gg y Mg)'!K64</f>
        <v>98784.686012062128</v>
      </c>
      <c r="I65" s="31">
        <f>'[3]Resumen (Gg y Mg)'!K64</f>
        <v>74401.201684802101</v>
      </c>
      <c r="J65" s="31">
        <f>'[4]Resumen (Gg y Mg)'!K64</f>
        <v>73311.477815449034</v>
      </c>
      <c r="K65" s="31">
        <f>'[5]Resumen (Gg y Mg)'!K64</f>
        <v>70939.206900000005</v>
      </c>
    </row>
    <row r="66" spans="2:12" x14ac:dyDescent="0.2">
      <c r="B66" s="76"/>
      <c r="C66" s="77"/>
      <c r="D66" s="77" t="s">
        <v>117</v>
      </c>
      <c r="E66" s="77"/>
      <c r="F66" s="78"/>
      <c r="G66" s="81" t="s">
        <v>118</v>
      </c>
      <c r="H66" s="31">
        <f>'[2]Resumen (Gg y Mg)'!K65</f>
        <v>1463.0288884199999</v>
      </c>
      <c r="I66" s="31">
        <f>'[3]Resumen (Gg y Mg)'!K65</f>
        <v>1276.653236565121</v>
      </c>
      <c r="J66" s="31">
        <f>'[4]Resumen (Gg y Mg)'!K65</f>
        <v>7497.7231076175995</v>
      </c>
      <c r="K66" s="31">
        <f>'[5]Resumen (Gg y Mg)'!K65</f>
        <v>7000.9565000000002</v>
      </c>
    </row>
    <row r="67" spans="2:12" x14ac:dyDescent="0.2">
      <c r="B67" s="76"/>
      <c r="C67" s="77"/>
      <c r="D67" s="77" t="s">
        <v>119</v>
      </c>
      <c r="E67" s="77"/>
      <c r="F67" s="78"/>
      <c r="G67" s="82" t="s">
        <v>120</v>
      </c>
      <c r="H67" s="31">
        <f>'[2]Resumen (Gg y Mg)'!K66</f>
        <v>15.335498375999999</v>
      </c>
      <c r="I67" s="31">
        <f>'[3]Resumen (Gg y Mg)'!K66</f>
        <v>24.556525751999995</v>
      </c>
      <c r="J67" s="31">
        <f>'[4]Resumen (Gg y Mg)'!K66</f>
        <v>171.53172378026662</v>
      </c>
      <c r="K67" s="31">
        <f>'[5]Resumen (Gg y Mg)'!K66</f>
        <v>583.41890000000001</v>
      </c>
    </row>
    <row r="68" spans="2:12" x14ac:dyDescent="0.2">
      <c r="B68" s="76"/>
      <c r="C68" s="77"/>
      <c r="D68" s="77" t="s">
        <v>121</v>
      </c>
      <c r="E68" s="77"/>
      <c r="F68" s="78"/>
      <c r="G68" s="82" t="s">
        <v>122</v>
      </c>
      <c r="H68" s="31">
        <f>'[2]Resumen (Gg y Mg)'!K67</f>
        <v>83.093731077224987</v>
      </c>
      <c r="I68" s="31">
        <f>'[3]Resumen (Gg y Mg)'!K67</f>
        <v>208.7086580349584</v>
      </c>
      <c r="J68" s="31">
        <f>'[4]Resumen (Gg y Mg)'!K67</f>
        <v>2257.6248088511334</v>
      </c>
      <c r="K68" s="31">
        <f>'[5]Resumen (Gg y Mg)'!K67</f>
        <v>1248.2237</v>
      </c>
    </row>
    <row r="69" spans="2:12" x14ac:dyDescent="0.2">
      <c r="B69" s="76"/>
      <c r="C69" s="77" t="s">
        <v>123</v>
      </c>
      <c r="D69" s="77"/>
      <c r="E69" s="77"/>
      <c r="F69" s="78"/>
      <c r="G69" s="79" t="s">
        <v>124</v>
      </c>
      <c r="H69" s="31">
        <f>'[2]Resumen (Gg y Mg)'!K68</f>
        <v>-24273.070090821093</v>
      </c>
      <c r="I69" s="31">
        <f>'[3]Resumen (Gg y Mg)'!K68</f>
        <v>-12342.552109674896</v>
      </c>
      <c r="J69" s="31">
        <f>'[4]Resumen (Gg y Mg)'!K68</f>
        <v>-10948.063562130221</v>
      </c>
      <c r="K69" s="31">
        <f>'[5]Resumen (Gg y Mg)'!K68</f>
        <v>-12300.5797</v>
      </c>
    </row>
    <row r="70" spans="2:12" x14ac:dyDescent="0.2">
      <c r="B70" s="76"/>
      <c r="C70" s="77" t="s">
        <v>125</v>
      </c>
      <c r="D70" s="77"/>
      <c r="E70" s="77"/>
      <c r="F70" s="78"/>
      <c r="G70" s="79" t="s">
        <v>126</v>
      </c>
      <c r="H70" s="31">
        <f>'[2]Resumen (Gg y Mg)'!K69</f>
        <v>233.00162654882936</v>
      </c>
      <c r="I70" s="31">
        <f>'[3]Resumen (Gg y Mg)'!K69</f>
        <v>346.40055167318479</v>
      </c>
      <c r="J70" s="31">
        <f>'[4]Resumen (Gg y Mg)'!K69</f>
        <v>341.87550152286008</v>
      </c>
      <c r="K70" s="31">
        <f>'[5]Resumen (Gg y Mg)'!K69</f>
        <v>412.44299999999998</v>
      </c>
    </row>
    <row r="71" spans="2:12" x14ac:dyDescent="0.2">
      <c r="B71" s="76"/>
      <c r="C71" s="77" t="s">
        <v>127</v>
      </c>
      <c r="D71" s="77"/>
      <c r="E71" s="77"/>
      <c r="F71" s="78"/>
      <c r="G71" s="83" t="s">
        <v>128</v>
      </c>
      <c r="H71" s="31">
        <f>'[2]Resumen (Gg y Mg)'!K70</f>
        <v>4992.6206567040017</v>
      </c>
      <c r="I71" s="31">
        <f>'[3]Resumen (Gg y Mg)'!K70</f>
        <v>5199.935550368893</v>
      </c>
      <c r="J71" s="31">
        <f>'[4]Resumen (Gg y Mg)'!K70</f>
        <v>4105.1775147178168</v>
      </c>
      <c r="K71" s="31">
        <f>'[5]Resumen (Gg y Mg)'!K70</f>
        <v>4081.2573000000002</v>
      </c>
    </row>
    <row r="72" spans="2:12" ht="12.75" x14ac:dyDescent="0.2">
      <c r="B72" s="84">
        <v>6</v>
      </c>
      <c r="C72" s="85"/>
      <c r="D72" s="85"/>
      <c r="E72" s="85"/>
      <c r="F72" s="86"/>
      <c r="G72" s="87" t="s">
        <v>129</v>
      </c>
      <c r="H72" s="88">
        <f>SUM(H73+H75)</f>
        <v>5233.5134942887507</v>
      </c>
      <c r="I72" s="88">
        <f>SUM(I73+I75)</f>
        <v>5686.2511999999997</v>
      </c>
      <c r="J72" s="88">
        <f>SUM(J73+J75)</f>
        <v>7019.7155847566482</v>
      </c>
      <c r="K72" s="88">
        <f>SUM(K73+K75)</f>
        <v>7822.5790999999999</v>
      </c>
      <c r="L72" s="17"/>
    </row>
    <row r="73" spans="2:12" x14ac:dyDescent="0.2">
      <c r="B73" s="89"/>
      <c r="C73" s="90" t="s">
        <v>130</v>
      </c>
      <c r="D73" s="90"/>
      <c r="E73" s="90"/>
      <c r="F73" s="91"/>
      <c r="G73" s="92" t="s">
        <v>131</v>
      </c>
      <c r="H73" s="93">
        <f>H74</f>
        <v>4087.8899174738303</v>
      </c>
      <c r="I73" s="93">
        <f>I74</f>
        <v>4229.9863999999998</v>
      </c>
      <c r="J73" s="93">
        <f>J74</f>
        <v>5297.2113536826419</v>
      </c>
      <c r="K73" s="93">
        <f>K74</f>
        <v>6005.2519000000002</v>
      </c>
      <c r="L73" s="11"/>
    </row>
    <row r="74" spans="2:12" x14ac:dyDescent="0.2">
      <c r="B74" s="89"/>
      <c r="C74" s="90"/>
      <c r="D74" s="90" t="s">
        <v>132</v>
      </c>
      <c r="E74" s="90"/>
      <c r="F74" s="91"/>
      <c r="G74" s="94" t="s">
        <v>133</v>
      </c>
      <c r="H74" s="31">
        <f>'[2]Resumen (Gg y Mg)'!K73</f>
        <v>4087.8899174738303</v>
      </c>
      <c r="I74" s="31">
        <f>'[3]Resumen (Gg y Mg)'!K73</f>
        <v>4229.9863999999998</v>
      </c>
      <c r="J74" s="31">
        <f>'[4]Resumen (Gg y Mg)'!K73</f>
        <v>5297.2113536826419</v>
      </c>
      <c r="K74" s="31">
        <f>'[5]Resumen (Gg y Mg)'!K73</f>
        <v>6005.2519000000002</v>
      </c>
      <c r="L74" s="11"/>
    </row>
    <row r="75" spans="2:12" x14ac:dyDescent="0.2">
      <c r="B75" s="89"/>
      <c r="C75" s="90" t="s">
        <v>134</v>
      </c>
      <c r="D75" s="90"/>
      <c r="E75" s="90"/>
      <c r="F75" s="91"/>
      <c r="G75" s="92" t="s">
        <v>135</v>
      </c>
      <c r="H75" s="93">
        <f>SUM(H76+H77)</f>
        <v>1145.6235768149209</v>
      </c>
      <c r="I75" s="93">
        <f>SUM(I76+I77)</f>
        <v>1456.2648000000002</v>
      </c>
      <c r="J75" s="93">
        <f>SUM(J76+J77)</f>
        <v>1722.5042310740059</v>
      </c>
      <c r="K75" s="93">
        <f>SUM(K76+K77)</f>
        <v>1817.3271999999999</v>
      </c>
    </row>
    <row r="76" spans="2:12" x14ac:dyDescent="0.2">
      <c r="B76" s="89"/>
      <c r="C76" s="90"/>
      <c r="D76" s="90" t="s">
        <v>136</v>
      </c>
      <c r="E76" s="90"/>
      <c r="F76" s="91"/>
      <c r="G76" s="95" t="s">
        <v>137</v>
      </c>
      <c r="H76" s="31">
        <f>'[2]Resumen (Gg y Mg)'!K75</f>
        <v>213.94177275122527</v>
      </c>
      <c r="I76" s="31">
        <f>'[3]Resumen (Gg y Mg)'!K75</f>
        <v>267.08510000000001</v>
      </c>
      <c r="J76" s="31">
        <f>'[4]Resumen (Gg y Mg)'!K75</f>
        <v>308.42627984568855</v>
      </c>
      <c r="K76" s="31">
        <f>'[5]Resumen (Gg y Mg)'!K75</f>
        <v>335.1576</v>
      </c>
    </row>
    <row r="77" spans="2:12" ht="24" x14ac:dyDescent="0.2">
      <c r="B77" s="89"/>
      <c r="C77" s="90"/>
      <c r="D77" s="90" t="s">
        <v>138</v>
      </c>
      <c r="E77" s="90"/>
      <c r="F77" s="91"/>
      <c r="G77" s="96" t="s">
        <v>139</v>
      </c>
      <c r="H77" s="97">
        <f>SUM(H78:H79)</f>
        <v>931.68180406369561</v>
      </c>
      <c r="I77" s="97">
        <f>SUM(I78:I79)</f>
        <v>1189.1797000000001</v>
      </c>
      <c r="J77" s="97">
        <f>SUM(J78:J79)</f>
        <v>1414.0779512283175</v>
      </c>
      <c r="K77" s="97">
        <f>SUM(K78:K79)</f>
        <v>1482.1695999999999</v>
      </c>
      <c r="L77" s="11"/>
    </row>
    <row r="78" spans="2:12" x14ac:dyDescent="0.2">
      <c r="B78" s="98"/>
      <c r="C78" s="99"/>
      <c r="D78" s="99"/>
      <c r="E78" s="90" t="s">
        <v>140</v>
      </c>
      <c r="F78" s="100"/>
      <c r="G78" s="95" t="s">
        <v>141</v>
      </c>
      <c r="H78" s="31">
        <f>'[2]Resumen (Gg y Mg)'!K77</f>
        <v>436.41056340508982</v>
      </c>
      <c r="I78" s="31">
        <f>'[3]Resumen (Gg y Mg)'!K77</f>
        <v>659.08510000000001</v>
      </c>
      <c r="J78" s="31">
        <f>'[4]Resumen (Gg y Mg)'!K77</f>
        <v>852.50623491605472</v>
      </c>
      <c r="K78" s="31">
        <f>'[5]Resumen (Gg y Mg)'!K77</f>
        <v>907.75189999999998</v>
      </c>
      <c r="L78" s="11"/>
    </row>
    <row r="79" spans="2:12" x14ac:dyDescent="0.2">
      <c r="B79" s="101"/>
      <c r="C79" s="102"/>
      <c r="D79" s="102"/>
      <c r="E79" s="102" t="s">
        <v>142</v>
      </c>
      <c r="F79" s="103"/>
      <c r="G79" s="95" t="s">
        <v>143</v>
      </c>
      <c r="H79" s="31">
        <f>'[2]Resumen (Gg y Mg)'!K78</f>
        <v>495.27124065860585</v>
      </c>
      <c r="I79" s="31">
        <f>'[3]Resumen (Gg y Mg)'!K78</f>
        <v>530.09460000000001</v>
      </c>
      <c r="J79" s="31">
        <f>'[4]Resumen (Gg y Mg)'!K78</f>
        <v>561.57171631226288</v>
      </c>
      <c r="K79" s="31">
        <f>'[5]Resumen (Gg y Mg)'!K78</f>
        <v>574.41769999999997</v>
      </c>
      <c r="L79" s="11"/>
    </row>
    <row r="82" spans="1:13" ht="14.25" x14ac:dyDescent="0.2">
      <c r="B82" s="104" t="s">
        <v>144</v>
      </c>
      <c r="C82" s="3" t="s">
        <v>145</v>
      </c>
    </row>
    <row r="84" spans="1:13" x14ac:dyDescent="0.2">
      <c r="A84" s="105" t="s">
        <v>146</v>
      </c>
      <c r="B84" s="105"/>
      <c r="C84" s="105"/>
      <c r="D84" s="105"/>
      <c r="E84" s="105"/>
      <c r="F84" s="105"/>
      <c r="G84" s="105"/>
      <c r="H84" s="105"/>
      <c r="I84" s="105"/>
      <c r="J84" s="105"/>
    </row>
    <row r="85" spans="1:13" x14ac:dyDescent="0.2">
      <c r="A85" s="106" t="s">
        <v>147</v>
      </c>
      <c r="B85" s="107" t="s">
        <v>148</v>
      </c>
      <c r="C85" s="107"/>
      <c r="D85" s="107"/>
      <c r="E85" s="107"/>
      <c r="F85" s="107"/>
      <c r="G85" s="107"/>
      <c r="H85" s="108"/>
      <c r="I85" s="108"/>
      <c r="J85" s="108"/>
    </row>
    <row r="86" spans="1:13" x14ac:dyDescent="0.2">
      <c r="A86" s="109" t="s">
        <v>149</v>
      </c>
      <c r="B86" s="110" t="s">
        <v>150</v>
      </c>
      <c r="C86" s="110"/>
      <c r="D86" s="110"/>
      <c r="E86" s="110"/>
      <c r="F86" s="110"/>
      <c r="G86" s="110"/>
      <c r="H86" s="108"/>
      <c r="I86" s="108"/>
      <c r="J86" s="108"/>
    </row>
    <row r="87" spans="1:13" x14ac:dyDescent="0.2">
      <c r="A87" s="106" t="s">
        <v>151</v>
      </c>
      <c r="B87" s="110" t="s">
        <v>152</v>
      </c>
      <c r="C87" s="110"/>
      <c r="D87" s="110"/>
      <c r="E87" s="110"/>
      <c r="F87" s="110"/>
      <c r="G87" s="110"/>
      <c r="H87" s="108"/>
      <c r="I87" s="108"/>
      <c r="J87" s="108"/>
    </row>
    <row r="88" spans="1:13" x14ac:dyDescent="0.2">
      <c r="A88" s="106" t="s">
        <v>153</v>
      </c>
      <c r="B88" s="110" t="s">
        <v>154</v>
      </c>
      <c r="C88" s="110"/>
      <c r="D88" s="110"/>
      <c r="E88" s="110"/>
      <c r="F88" s="110"/>
      <c r="G88" s="110"/>
      <c r="H88" s="108"/>
      <c r="I88" s="108"/>
      <c r="J88" s="108"/>
    </row>
    <row r="89" spans="1:13" x14ac:dyDescent="0.2">
      <c r="A89" s="106" t="s">
        <v>155</v>
      </c>
      <c r="B89" s="110" t="s">
        <v>156</v>
      </c>
      <c r="C89" s="110"/>
      <c r="D89" s="110"/>
      <c r="E89" s="110"/>
      <c r="F89" s="110"/>
      <c r="G89" s="110"/>
      <c r="H89" s="108"/>
      <c r="I89" s="108"/>
      <c r="J89" s="108"/>
    </row>
    <row r="90" spans="1:13" x14ac:dyDescent="0.2">
      <c r="A90" s="106" t="s">
        <v>157</v>
      </c>
      <c r="B90" s="110" t="s">
        <v>158</v>
      </c>
      <c r="C90" s="110"/>
      <c r="D90" s="110"/>
      <c r="E90" s="110"/>
      <c r="F90" s="110"/>
      <c r="G90" s="110"/>
      <c r="H90" s="108"/>
      <c r="I90" s="108"/>
      <c r="J90" s="108"/>
    </row>
    <row r="91" spans="1:13" ht="12" customHeight="1" x14ac:dyDescent="0.2">
      <c r="A91" s="111" t="s">
        <v>159</v>
      </c>
      <c r="B91" s="112" t="s">
        <v>160</v>
      </c>
      <c r="C91" s="112"/>
      <c r="D91" s="112"/>
      <c r="E91" s="112"/>
      <c r="F91" s="112"/>
      <c r="G91" s="112"/>
      <c r="H91" s="112"/>
      <c r="I91" s="112"/>
      <c r="J91" s="112"/>
      <c r="K91" s="112"/>
      <c r="L91" s="112"/>
      <c r="M91" s="112"/>
    </row>
    <row r="92" spans="1:13" x14ac:dyDescent="0.2">
      <c r="A92" s="113"/>
      <c r="B92" s="112"/>
      <c r="C92" s="112"/>
      <c r="D92" s="112"/>
      <c r="E92" s="112"/>
      <c r="F92" s="112"/>
      <c r="G92" s="112"/>
      <c r="H92" s="112"/>
      <c r="I92" s="112"/>
      <c r="J92" s="112"/>
      <c r="K92" s="112"/>
      <c r="L92" s="112"/>
      <c r="M92" s="112"/>
    </row>
    <row r="93" spans="1:13" ht="12" customHeight="1" x14ac:dyDescent="0.2">
      <c r="A93" s="111" t="s">
        <v>161</v>
      </c>
      <c r="B93" s="112" t="s">
        <v>162</v>
      </c>
      <c r="C93" s="112"/>
      <c r="D93" s="112"/>
      <c r="E93" s="112"/>
      <c r="F93" s="112"/>
      <c r="G93" s="112"/>
      <c r="H93" s="112"/>
      <c r="I93" s="112"/>
      <c r="J93" s="112"/>
      <c r="K93" s="112"/>
      <c r="L93" s="112"/>
      <c r="M93" s="112"/>
    </row>
    <row r="94" spans="1:13" x14ac:dyDescent="0.2">
      <c r="A94" s="113"/>
      <c r="B94" s="112"/>
      <c r="C94" s="112"/>
      <c r="D94" s="112"/>
      <c r="E94" s="112"/>
      <c r="F94" s="112"/>
      <c r="G94" s="112"/>
      <c r="H94" s="112"/>
      <c r="I94" s="112"/>
      <c r="J94" s="112"/>
      <c r="K94" s="112"/>
      <c r="L94" s="112"/>
      <c r="M94" s="112"/>
    </row>
  </sheetData>
  <mergeCells count="8">
    <mergeCell ref="A93:A94"/>
    <mergeCell ref="B93:M94"/>
    <mergeCell ref="B4:F5"/>
    <mergeCell ref="G4:G5"/>
    <mergeCell ref="H4:K4"/>
    <mergeCell ref="B6:G6"/>
    <mergeCell ref="A91:A92"/>
    <mergeCell ref="B91:M9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showGridLines="0" showZeros="0" zoomScale="120" zoomScaleNormal="120" workbookViewId="0">
      <selection activeCell="D20" sqref="D20"/>
    </sheetView>
  </sheetViews>
  <sheetFormatPr defaultColWidth="9.140625" defaultRowHeight="15" x14ac:dyDescent="0.25"/>
  <cols>
    <col min="1" max="2" width="9.140625" style="140"/>
    <col min="3" max="3" width="12.7109375" style="140" bestFit="1" customWidth="1"/>
    <col min="4" max="4" width="9.140625" style="140"/>
    <col min="5" max="5" width="13.7109375" style="140" bestFit="1" customWidth="1"/>
    <col min="6" max="16384" width="9.140625" style="140"/>
  </cols>
  <sheetData>
    <row r="1" spans="1:11" x14ac:dyDescent="0.25">
      <c r="A1" s="139" t="s">
        <v>199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1" ht="15.75" thickBot="1" x14ac:dyDescent="0.3"/>
    <row r="3" spans="1:11" ht="15" customHeight="1" x14ac:dyDescent="0.25">
      <c r="A3" s="141" t="s">
        <v>200</v>
      </c>
      <c r="B3" s="141"/>
      <c r="C3" s="142" t="s">
        <v>166</v>
      </c>
      <c r="D3" s="142"/>
      <c r="E3" s="142"/>
      <c r="F3" s="142"/>
      <c r="G3" s="142"/>
      <c r="H3" s="142"/>
      <c r="I3" s="142"/>
      <c r="J3" s="142"/>
      <c r="K3" s="142"/>
    </row>
    <row r="4" spans="1:11" ht="15" customHeight="1" x14ac:dyDescent="0.25">
      <c r="A4" s="143" t="s">
        <v>199</v>
      </c>
      <c r="B4" s="143"/>
      <c r="C4" s="144" t="s">
        <v>167</v>
      </c>
      <c r="D4" s="144" t="s">
        <v>168</v>
      </c>
      <c r="E4" s="144" t="s">
        <v>169</v>
      </c>
      <c r="F4" s="144" t="s">
        <v>170</v>
      </c>
      <c r="G4" s="144" t="s">
        <v>171</v>
      </c>
      <c r="H4" s="144" t="s">
        <v>172</v>
      </c>
      <c r="I4" s="144" t="s">
        <v>173</v>
      </c>
      <c r="J4" s="144" t="s">
        <v>174</v>
      </c>
      <c r="K4" s="144" t="s">
        <v>175</v>
      </c>
    </row>
    <row r="5" spans="1:11" x14ac:dyDescent="0.25">
      <c r="A5" s="145" t="s">
        <v>176</v>
      </c>
      <c r="B5" s="146" t="s">
        <v>177</v>
      </c>
      <c r="C5" s="147">
        <v>30430.109074502168</v>
      </c>
      <c r="D5" s="148">
        <v>0</v>
      </c>
      <c r="E5" s="148">
        <v>0</v>
      </c>
      <c r="F5" s="148">
        <v>0</v>
      </c>
      <c r="G5" s="148">
        <v>0</v>
      </c>
      <c r="H5" s="148">
        <v>0</v>
      </c>
      <c r="I5" s="148">
        <v>0</v>
      </c>
      <c r="J5" s="148">
        <v>0</v>
      </c>
      <c r="K5" s="148">
        <v>30430.109074502168</v>
      </c>
    </row>
    <row r="6" spans="1:11" ht="18" x14ac:dyDescent="0.25">
      <c r="A6" s="145"/>
      <c r="B6" s="149" t="s">
        <v>178</v>
      </c>
      <c r="C6" s="150">
        <v>7367.0189695170075</v>
      </c>
      <c r="D6" s="150">
        <v>637.04464126090841</v>
      </c>
      <c r="E6" s="150">
        <v>0</v>
      </c>
      <c r="F6" s="150">
        <v>1.1559763343662908</v>
      </c>
      <c r="G6" s="150">
        <v>0</v>
      </c>
      <c r="H6" s="150">
        <v>0</v>
      </c>
      <c r="I6" s="150">
        <v>0</v>
      </c>
      <c r="J6" s="150">
        <v>0</v>
      </c>
      <c r="K6" s="150">
        <v>8005.2195871122822</v>
      </c>
    </row>
    <row r="7" spans="1:11" ht="27" x14ac:dyDescent="0.25">
      <c r="A7" s="145"/>
      <c r="B7" s="146" t="s">
        <v>179</v>
      </c>
      <c r="C7" s="147">
        <v>1411.3638479470117</v>
      </c>
      <c r="D7" s="148">
        <v>0</v>
      </c>
      <c r="E7" s="148">
        <v>0</v>
      </c>
      <c r="F7" s="148">
        <v>0</v>
      </c>
      <c r="G7" s="148">
        <v>0</v>
      </c>
      <c r="H7" s="148">
        <v>0</v>
      </c>
      <c r="I7" s="148">
        <v>0</v>
      </c>
      <c r="J7" s="148">
        <v>0</v>
      </c>
      <c r="K7" s="148">
        <v>1411.3638479470117</v>
      </c>
    </row>
    <row r="8" spans="1:11" ht="18" x14ac:dyDescent="0.25">
      <c r="A8" s="145"/>
      <c r="B8" s="149" t="s">
        <v>180</v>
      </c>
      <c r="C8" s="150">
        <v>415.32381419050085</v>
      </c>
      <c r="D8" s="150">
        <v>0</v>
      </c>
      <c r="E8" s="150">
        <v>0</v>
      </c>
      <c r="F8" s="150">
        <v>64.641024000000002</v>
      </c>
      <c r="G8" s="150"/>
      <c r="H8" s="150">
        <v>0</v>
      </c>
      <c r="I8" s="150">
        <v>0</v>
      </c>
      <c r="J8" s="150">
        <v>0</v>
      </c>
      <c r="K8" s="150">
        <v>479.96483819050087</v>
      </c>
    </row>
    <row r="9" spans="1:11" ht="18" x14ac:dyDescent="0.25">
      <c r="A9" s="145"/>
      <c r="B9" s="146" t="s">
        <v>181</v>
      </c>
      <c r="C9" s="147">
        <v>4538.2029587835432</v>
      </c>
      <c r="D9" s="148">
        <v>0</v>
      </c>
      <c r="E9" s="148">
        <v>0</v>
      </c>
      <c r="F9" s="148">
        <v>0</v>
      </c>
      <c r="G9" s="148">
        <v>0</v>
      </c>
      <c r="H9" s="148">
        <v>0</v>
      </c>
      <c r="I9" s="148">
        <v>0</v>
      </c>
      <c r="J9" s="148">
        <v>0</v>
      </c>
      <c r="K9" s="148">
        <v>4538.2029587835432</v>
      </c>
    </row>
    <row r="10" spans="1:11" ht="27" x14ac:dyDescent="0.25">
      <c r="A10" s="145"/>
      <c r="B10" s="149" t="s">
        <v>182</v>
      </c>
      <c r="C10" s="150">
        <v>3923.0704870494933</v>
      </c>
      <c r="D10" s="150">
        <v>0</v>
      </c>
      <c r="E10" s="150">
        <v>0</v>
      </c>
      <c r="F10" s="150">
        <v>0</v>
      </c>
      <c r="G10" s="150">
        <v>0</v>
      </c>
      <c r="H10" s="150">
        <v>0</v>
      </c>
      <c r="I10" s="150">
        <v>0</v>
      </c>
      <c r="J10" s="150">
        <v>0</v>
      </c>
      <c r="K10" s="150">
        <v>3923.0704870494933</v>
      </c>
    </row>
    <row r="11" spans="1:11" ht="18" x14ac:dyDescent="0.25">
      <c r="A11" s="145"/>
      <c r="B11" s="146" t="s">
        <v>183</v>
      </c>
      <c r="C11" s="147">
        <v>891.99954644523712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48">
        <v>0</v>
      </c>
      <c r="J11" s="148">
        <v>0</v>
      </c>
      <c r="K11" s="148">
        <v>891.99954644523712</v>
      </c>
    </row>
    <row r="12" spans="1:11" ht="27" x14ac:dyDescent="0.25">
      <c r="A12" s="145"/>
      <c r="B12" s="149" t="s">
        <v>184</v>
      </c>
      <c r="C12" s="150">
        <v>648.07756700797881</v>
      </c>
      <c r="D12" s="150">
        <v>0</v>
      </c>
      <c r="E12" s="150">
        <v>0</v>
      </c>
      <c r="F12" s="150">
        <v>0</v>
      </c>
      <c r="G12" s="150">
        <v>0</v>
      </c>
      <c r="H12" s="150">
        <v>0</v>
      </c>
      <c r="I12" s="150">
        <v>0</v>
      </c>
      <c r="J12" s="150">
        <v>27.056091598847996</v>
      </c>
      <c r="K12" s="150">
        <v>675.13365860682677</v>
      </c>
    </row>
    <row r="13" spans="1:11" ht="18" x14ac:dyDescent="0.25">
      <c r="A13" s="145"/>
      <c r="B13" s="146" t="s">
        <v>185</v>
      </c>
      <c r="C13" s="147">
        <v>3542.0075774841603</v>
      </c>
      <c r="D13" s="148">
        <v>0</v>
      </c>
      <c r="E13" s="148">
        <v>456409.8</v>
      </c>
      <c r="F13" s="148">
        <v>0</v>
      </c>
      <c r="G13" s="148">
        <v>168954.5</v>
      </c>
      <c r="H13" s="148">
        <v>0</v>
      </c>
      <c r="I13" s="148">
        <v>82882.8</v>
      </c>
      <c r="J13" s="148">
        <v>0</v>
      </c>
      <c r="K13" s="148">
        <v>711789.10757748422</v>
      </c>
    </row>
    <row r="14" spans="1:11" ht="18" x14ac:dyDescent="0.25">
      <c r="A14" s="145"/>
      <c r="B14" s="149" t="s">
        <v>186</v>
      </c>
      <c r="C14" s="150">
        <v>124205.24571795267</v>
      </c>
      <c r="D14" s="150">
        <v>0</v>
      </c>
      <c r="E14" s="150">
        <v>0</v>
      </c>
      <c r="F14" s="150">
        <v>0</v>
      </c>
      <c r="G14" s="150">
        <v>0</v>
      </c>
      <c r="H14" s="150">
        <v>0</v>
      </c>
      <c r="I14" s="150">
        <v>0</v>
      </c>
      <c r="J14" s="150">
        <v>0</v>
      </c>
      <c r="K14" s="150">
        <v>124205.24571795267</v>
      </c>
    </row>
    <row r="15" spans="1:11" ht="15.75" thickBot="1" x14ac:dyDescent="0.3">
      <c r="A15" s="151"/>
      <c r="B15" s="152" t="s">
        <v>175</v>
      </c>
      <c r="C15" s="153">
        <v>177372.41956087976</v>
      </c>
      <c r="D15" s="154">
        <v>637.04464126090841</v>
      </c>
      <c r="E15" s="154">
        <v>456409.8</v>
      </c>
      <c r="F15" s="154">
        <v>65.797000334366288</v>
      </c>
      <c r="G15" s="154">
        <v>168954.5</v>
      </c>
      <c r="H15" s="154">
        <v>0</v>
      </c>
      <c r="I15" s="154">
        <v>82882.8</v>
      </c>
      <c r="J15" s="154">
        <v>27.056091598847996</v>
      </c>
      <c r="K15" s="154">
        <v>886349.41729407385</v>
      </c>
    </row>
    <row r="16" spans="1:11" ht="15.75" thickBot="1" x14ac:dyDescent="0.3"/>
    <row r="17" spans="1:11" x14ac:dyDescent="0.25">
      <c r="A17" s="141" t="s">
        <v>165</v>
      </c>
      <c r="B17" s="141"/>
      <c r="C17" s="142" t="s">
        <v>166</v>
      </c>
      <c r="D17" s="142"/>
      <c r="E17" s="142"/>
      <c r="F17" s="142"/>
      <c r="G17" s="142"/>
      <c r="H17" s="142"/>
      <c r="I17" s="142"/>
      <c r="J17" s="142"/>
      <c r="K17" s="142"/>
    </row>
    <row r="18" spans="1:11" ht="15" customHeight="1" x14ac:dyDescent="0.25">
      <c r="A18" s="143" t="s">
        <v>199</v>
      </c>
      <c r="B18" s="143"/>
      <c r="C18" s="144" t="s">
        <v>167</v>
      </c>
      <c r="D18" s="144" t="s">
        <v>168</v>
      </c>
      <c r="E18" s="144" t="s">
        <v>169</v>
      </c>
      <c r="F18" s="144" t="s">
        <v>170</v>
      </c>
      <c r="G18" s="144" t="s">
        <v>171</v>
      </c>
      <c r="H18" s="144" t="s">
        <v>172</v>
      </c>
      <c r="I18" s="144" t="s">
        <v>173</v>
      </c>
      <c r="J18" s="144" t="s">
        <v>174</v>
      </c>
      <c r="K18" s="144" t="s">
        <v>175</v>
      </c>
    </row>
    <row r="19" spans="1:11" x14ac:dyDescent="0.25">
      <c r="A19" s="145" t="s">
        <v>176</v>
      </c>
      <c r="B19" s="146" t="s">
        <v>177</v>
      </c>
      <c r="C19" s="147">
        <v>30266.873907437977</v>
      </c>
      <c r="D19" s="148">
        <v>0</v>
      </c>
      <c r="E19" s="148">
        <v>0</v>
      </c>
      <c r="F19" s="148">
        <v>0</v>
      </c>
      <c r="G19" s="148">
        <v>0</v>
      </c>
      <c r="H19" s="148">
        <v>0</v>
      </c>
      <c r="I19" s="148">
        <v>0</v>
      </c>
      <c r="J19" s="148">
        <v>0</v>
      </c>
      <c r="K19" s="148">
        <v>30266.873907437977</v>
      </c>
    </row>
    <row r="20" spans="1:11" ht="18" x14ac:dyDescent="0.25">
      <c r="A20" s="145"/>
      <c r="B20" s="149" t="s">
        <v>178</v>
      </c>
      <c r="C20" s="150">
        <v>7242.5449176693146</v>
      </c>
      <c r="D20" s="150">
        <v>623.39749360522842</v>
      </c>
      <c r="E20" s="150">
        <v>0</v>
      </c>
      <c r="F20" s="150">
        <v>0</v>
      </c>
      <c r="G20" s="150">
        <v>0</v>
      </c>
      <c r="H20" s="150">
        <v>0</v>
      </c>
      <c r="I20" s="150">
        <v>0</v>
      </c>
      <c r="J20" s="150">
        <v>0</v>
      </c>
      <c r="K20" s="150">
        <v>7865.9424112745428</v>
      </c>
    </row>
    <row r="21" spans="1:11" ht="27" x14ac:dyDescent="0.25">
      <c r="A21" s="145"/>
      <c r="B21" s="146" t="s">
        <v>179</v>
      </c>
      <c r="C21" s="147">
        <v>1376.6800640908782</v>
      </c>
      <c r="D21" s="148">
        <v>0</v>
      </c>
      <c r="E21" s="148">
        <v>0</v>
      </c>
      <c r="F21" s="148">
        <v>0</v>
      </c>
      <c r="G21" s="148">
        <v>0</v>
      </c>
      <c r="H21" s="148">
        <v>0</v>
      </c>
      <c r="I21" s="148">
        <v>0</v>
      </c>
      <c r="J21" s="148">
        <v>0</v>
      </c>
      <c r="K21" s="148">
        <v>1376.6800640908782</v>
      </c>
    </row>
    <row r="22" spans="1:11" ht="18" x14ac:dyDescent="0.25">
      <c r="A22" s="145"/>
      <c r="B22" s="149" t="s">
        <v>180</v>
      </c>
      <c r="C22" s="150">
        <v>415.32381419050085</v>
      </c>
      <c r="D22" s="150">
        <v>0</v>
      </c>
      <c r="E22" s="150">
        <v>0</v>
      </c>
      <c r="F22" s="150">
        <v>64.641024000000002</v>
      </c>
      <c r="G22" s="150">
        <v>0</v>
      </c>
      <c r="H22" s="150">
        <v>0</v>
      </c>
      <c r="I22" s="150">
        <v>0</v>
      </c>
      <c r="J22" s="150">
        <v>0</v>
      </c>
      <c r="K22" s="150">
        <v>479.96483819050087</v>
      </c>
    </row>
    <row r="23" spans="1:11" ht="18" x14ac:dyDescent="0.25">
      <c r="A23" s="145"/>
      <c r="B23" s="146" t="s">
        <v>181</v>
      </c>
      <c r="C23" s="147">
        <v>4538.2029587835432</v>
      </c>
      <c r="D23" s="148">
        <v>0</v>
      </c>
      <c r="E23" s="148">
        <v>0</v>
      </c>
      <c r="F23" s="148">
        <v>0</v>
      </c>
      <c r="G23" s="148">
        <v>0</v>
      </c>
      <c r="H23" s="148">
        <v>0</v>
      </c>
      <c r="I23" s="148">
        <v>0</v>
      </c>
      <c r="J23" s="148">
        <v>0</v>
      </c>
      <c r="K23" s="148">
        <v>4538.2029587835432</v>
      </c>
    </row>
    <row r="24" spans="1:11" ht="27" x14ac:dyDescent="0.25">
      <c r="A24" s="145"/>
      <c r="B24" s="149" t="s">
        <v>182</v>
      </c>
      <c r="C24" s="150">
        <v>3814.5625962731729</v>
      </c>
      <c r="D24" s="150">
        <v>0</v>
      </c>
      <c r="E24" s="150">
        <v>0</v>
      </c>
      <c r="F24" s="150">
        <v>0</v>
      </c>
      <c r="G24" s="150">
        <v>0</v>
      </c>
      <c r="H24" s="150">
        <v>0</v>
      </c>
      <c r="I24" s="150">
        <v>0</v>
      </c>
      <c r="J24" s="150">
        <v>0</v>
      </c>
      <c r="K24" s="150">
        <v>3814.5625962731729</v>
      </c>
    </row>
    <row r="25" spans="1:11" ht="18" x14ac:dyDescent="0.25">
      <c r="A25" s="145"/>
      <c r="B25" s="146" t="s">
        <v>183</v>
      </c>
      <c r="C25" s="147">
        <v>874.98705928423544</v>
      </c>
      <c r="D25" s="148">
        <v>0</v>
      </c>
      <c r="E25" s="148">
        <v>0</v>
      </c>
      <c r="F25" s="148">
        <v>0</v>
      </c>
      <c r="G25" s="148">
        <v>0</v>
      </c>
      <c r="H25" s="148">
        <v>0</v>
      </c>
      <c r="I25" s="148">
        <v>0</v>
      </c>
      <c r="J25" s="148">
        <v>0</v>
      </c>
      <c r="K25" s="148">
        <v>874.98705928423544</v>
      </c>
    </row>
    <row r="26" spans="1:11" ht="27" x14ac:dyDescent="0.25">
      <c r="A26" s="145"/>
      <c r="B26" s="149" t="s">
        <v>184</v>
      </c>
      <c r="C26" s="150">
        <v>648.07756700797881</v>
      </c>
      <c r="D26" s="150">
        <v>0</v>
      </c>
      <c r="E26" s="150">
        <v>0</v>
      </c>
      <c r="F26" s="150">
        <v>0</v>
      </c>
      <c r="G26" s="150">
        <v>0</v>
      </c>
      <c r="H26" s="150">
        <v>0</v>
      </c>
      <c r="I26" s="150">
        <v>0</v>
      </c>
      <c r="J26" s="150">
        <v>16.910057249279998</v>
      </c>
      <c r="K26" s="150">
        <v>664.98762425725886</v>
      </c>
    </row>
    <row r="27" spans="1:11" ht="18" x14ac:dyDescent="0.25">
      <c r="A27" s="145"/>
      <c r="B27" s="146" t="s">
        <v>185</v>
      </c>
      <c r="C27" s="147">
        <v>3542.0075774841603</v>
      </c>
      <c r="D27" s="148">
        <v>0</v>
      </c>
      <c r="E27" s="148">
        <v>456409.8</v>
      </c>
      <c r="F27" s="148">
        <v>0</v>
      </c>
      <c r="G27" s="148">
        <v>168954.5</v>
      </c>
      <c r="H27" s="148">
        <v>0</v>
      </c>
      <c r="I27" s="148">
        <v>82882.8</v>
      </c>
      <c r="J27" s="148">
        <v>0</v>
      </c>
      <c r="K27" s="148">
        <v>711789.10757748422</v>
      </c>
    </row>
    <row r="28" spans="1:11" ht="18" x14ac:dyDescent="0.25">
      <c r="A28" s="145"/>
      <c r="B28" s="149" t="s">
        <v>186</v>
      </c>
      <c r="C28" s="150">
        <v>122660.33722814848</v>
      </c>
      <c r="D28" s="150">
        <v>0</v>
      </c>
      <c r="E28" s="150">
        <v>0</v>
      </c>
      <c r="F28" s="150">
        <v>0</v>
      </c>
      <c r="G28" s="150">
        <v>0</v>
      </c>
      <c r="H28" s="150">
        <v>0</v>
      </c>
      <c r="I28" s="150">
        <v>0</v>
      </c>
      <c r="J28" s="150">
        <v>0</v>
      </c>
      <c r="K28" s="150">
        <v>122660.33722814848</v>
      </c>
    </row>
    <row r="29" spans="1:11" ht="15.75" thickBot="1" x14ac:dyDescent="0.3">
      <c r="A29" s="151"/>
      <c r="B29" s="152" t="s">
        <v>175</v>
      </c>
      <c r="C29" s="153">
        <v>175379.59769037022</v>
      </c>
      <c r="D29" s="154">
        <v>623.39749360522842</v>
      </c>
      <c r="E29" s="154">
        <v>456409.8</v>
      </c>
      <c r="F29" s="154">
        <v>64.641024000000002</v>
      </c>
      <c r="G29" s="154">
        <v>168954.5</v>
      </c>
      <c r="H29" s="154">
        <v>0</v>
      </c>
      <c r="I29" s="154">
        <v>82882.8</v>
      </c>
      <c r="J29" s="154">
        <v>16.910057249279998</v>
      </c>
      <c r="K29" s="154">
        <v>884331.64626522479</v>
      </c>
    </row>
    <row r="30" spans="1:11" x14ac:dyDescent="0.25">
      <c r="C30" s="156"/>
      <c r="D30" s="156"/>
      <c r="E30" s="156"/>
    </row>
    <row r="31" spans="1:11" x14ac:dyDescent="0.25">
      <c r="B31" s="155"/>
      <c r="C31" s="156"/>
      <c r="D31" s="156"/>
      <c r="E31" s="156"/>
    </row>
    <row r="32" spans="1:11" x14ac:dyDescent="0.25">
      <c r="B32" s="155"/>
      <c r="C32" s="156"/>
      <c r="D32" s="156"/>
      <c r="E32" s="156"/>
    </row>
    <row r="33" spans="1:11" x14ac:dyDescent="0.25">
      <c r="B33" s="155"/>
      <c r="C33" s="156"/>
      <c r="D33" s="156"/>
      <c r="E33" s="156"/>
    </row>
    <row r="34" spans="1:11" x14ac:dyDescent="0.25">
      <c r="B34" s="155"/>
      <c r="C34" s="156"/>
      <c r="D34" s="156"/>
      <c r="E34" s="156"/>
    </row>
    <row r="35" spans="1:11" ht="15.75" thickBot="1" x14ac:dyDescent="0.3"/>
    <row r="36" spans="1:11" x14ac:dyDescent="0.25">
      <c r="A36" s="141" t="s">
        <v>201</v>
      </c>
      <c r="B36" s="141"/>
      <c r="C36" s="142" t="s">
        <v>166</v>
      </c>
      <c r="D36" s="142"/>
      <c r="E36" s="142"/>
      <c r="F36" s="142"/>
      <c r="G36" s="142"/>
      <c r="H36" s="142"/>
      <c r="I36" s="142"/>
      <c r="J36" s="142"/>
      <c r="K36" s="142"/>
    </row>
    <row r="37" spans="1:11" ht="15" customHeight="1" x14ac:dyDescent="0.25">
      <c r="A37" s="143" t="s">
        <v>199</v>
      </c>
      <c r="B37" s="143"/>
      <c r="C37" s="144" t="s">
        <v>167</v>
      </c>
      <c r="D37" s="144" t="s">
        <v>168</v>
      </c>
      <c r="E37" s="144" t="s">
        <v>169</v>
      </c>
      <c r="F37" s="144" t="s">
        <v>170</v>
      </c>
      <c r="G37" s="144" t="s">
        <v>171</v>
      </c>
      <c r="H37" s="144" t="s">
        <v>172</v>
      </c>
      <c r="I37" s="144" t="s">
        <v>173</v>
      </c>
      <c r="J37" s="144" t="s">
        <v>174</v>
      </c>
      <c r="K37" s="144" t="s">
        <v>175</v>
      </c>
    </row>
    <row r="38" spans="1:11" x14ac:dyDescent="0.25">
      <c r="A38" s="145" t="s">
        <v>176</v>
      </c>
      <c r="B38" s="146" t="s">
        <v>177</v>
      </c>
      <c r="C38" s="147">
        <v>163.23516706419665</v>
      </c>
      <c r="D38" s="148">
        <v>0</v>
      </c>
      <c r="E38" s="148">
        <v>0</v>
      </c>
      <c r="F38" s="148">
        <v>0</v>
      </c>
      <c r="G38" s="148">
        <v>0</v>
      </c>
      <c r="H38" s="148">
        <v>0</v>
      </c>
      <c r="I38" s="148">
        <v>0</v>
      </c>
      <c r="J38" s="148">
        <v>0</v>
      </c>
      <c r="K38" s="148">
        <v>163.23516706419665</v>
      </c>
    </row>
    <row r="39" spans="1:11" ht="18" x14ac:dyDescent="0.25">
      <c r="A39" s="145"/>
      <c r="B39" s="149" t="s">
        <v>178</v>
      </c>
      <c r="C39" s="150">
        <v>124.47405184769283</v>
      </c>
      <c r="D39" s="150">
        <v>13.64714765568</v>
      </c>
      <c r="E39" s="150">
        <v>0</v>
      </c>
      <c r="F39" s="150">
        <v>1.1559763343662908</v>
      </c>
      <c r="G39" s="150">
        <v>0</v>
      </c>
      <c r="H39" s="150">
        <v>0</v>
      </c>
      <c r="I39" s="150">
        <v>0</v>
      </c>
      <c r="J39" s="150">
        <v>0</v>
      </c>
      <c r="K39" s="150">
        <v>139.27717583773912</v>
      </c>
    </row>
    <row r="40" spans="1:11" ht="27" x14ac:dyDescent="0.25">
      <c r="A40" s="145"/>
      <c r="B40" s="146" t="s">
        <v>179</v>
      </c>
      <c r="C40" s="147">
        <v>34.683783856133445</v>
      </c>
      <c r="D40" s="148">
        <v>0</v>
      </c>
      <c r="E40" s="148">
        <v>0</v>
      </c>
      <c r="F40" s="148">
        <v>0</v>
      </c>
      <c r="G40" s="148">
        <v>0</v>
      </c>
      <c r="H40" s="148">
        <v>0</v>
      </c>
      <c r="I40" s="148">
        <v>0</v>
      </c>
      <c r="J40" s="148">
        <v>0</v>
      </c>
      <c r="K40" s="148">
        <v>34.683783856133445</v>
      </c>
    </row>
    <row r="41" spans="1:11" ht="18" x14ac:dyDescent="0.25">
      <c r="A41" s="145"/>
      <c r="B41" s="149" t="s">
        <v>180</v>
      </c>
      <c r="C41" s="150">
        <v>0</v>
      </c>
      <c r="D41" s="150">
        <v>0</v>
      </c>
      <c r="E41" s="150">
        <v>0</v>
      </c>
      <c r="F41" s="150">
        <v>0</v>
      </c>
      <c r="G41" s="150">
        <v>0</v>
      </c>
      <c r="H41" s="150">
        <v>0</v>
      </c>
      <c r="I41" s="150">
        <v>0</v>
      </c>
      <c r="J41" s="150">
        <v>0</v>
      </c>
      <c r="K41" s="150">
        <v>0</v>
      </c>
    </row>
    <row r="42" spans="1:11" ht="18" x14ac:dyDescent="0.25">
      <c r="A42" s="145"/>
      <c r="B42" s="146" t="s">
        <v>181</v>
      </c>
      <c r="C42" s="147">
        <v>0</v>
      </c>
      <c r="D42" s="148">
        <v>0</v>
      </c>
      <c r="E42" s="148">
        <v>0</v>
      </c>
      <c r="F42" s="148">
        <v>0</v>
      </c>
      <c r="G42" s="148">
        <v>0</v>
      </c>
      <c r="H42" s="148">
        <v>0</v>
      </c>
      <c r="I42" s="148">
        <v>0</v>
      </c>
      <c r="J42" s="148">
        <v>0</v>
      </c>
      <c r="K42" s="148">
        <v>0</v>
      </c>
    </row>
    <row r="43" spans="1:11" ht="27" x14ac:dyDescent="0.25">
      <c r="A43" s="145"/>
      <c r="B43" s="149" t="s">
        <v>182</v>
      </c>
      <c r="C43" s="150">
        <v>108.50789077632004</v>
      </c>
      <c r="D43" s="150">
        <v>0</v>
      </c>
      <c r="E43" s="150">
        <v>0</v>
      </c>
      <c r="F43" s="150">
        <v>0</v>
      </c>
      <c r="G43" s="150">
        <v>0</v>
      </c>
      <c r="H43" s="150">
        <v>0</v>
      </c>
      <c r="I43" s="150">
        <v>0</v>
      </c>
      <c r="J43" s="150">
        <v>0</v>
      </c>
      <c r="K43" s="150">
        <v>108.50789077632004</v>
      </c>
    </row>
    <row r="44" spans="1:11" ht="18" x14ac:dyDescent="0.25">
      <c r="A44" s="145"/>
      <c r="B44" s="146" t="s">
        <v>183</v>
      </c>
      <c r="C44" s="147">
        <v>17.012487161001602</v>
      </c>
      <c r="D44" s="148">
        <v>0</v>
      </c>
      <c r="E44" s="148">
        <v>0</v>
      </c>
      <c r="F44" s="148">
        <v>0</v>
      </c>
      <c r="G44" s="148">
        <v>0</v>
      </c>
      <c r="H44" s="148">
        <v>0</v>
      </c>
      <c r="I44" s="148">
        <v>0</v>
      </c>
      <c r="J44" s="148">
        <v>0</v>
      </c>
      <c r="K44" s="148">
        <v>17.012487161001602</v>
      </c>
    </row>
    <row r="45" spans="1:11" ht="27" x14ac:dyDescent="0.25">
      <c r="A45" s="145"/>
      <c r="B45" s="149" t="s">
        <v>184</v>
      </c>
      <c r="C45" s="150">
        <v>0</v>
      </c>
      <c r="D45" s="150">
        <v>0</v>
      </c>
      <c r="E45" s="150">
        <v>0</v>
      </c>
      <c r="F45" s="150">
        <v>0</v>
      </c>
      <c r="G45" s="150">
        <v>0</v>
      </c>
      <c r="H45" s="150">
        <v>0</v>
      </c>
      <c r="I45" s="150">
        <v>0</v>
      </c>
      <c r="J45" s="150">
        <v>10.146034349568</v>
      </c>
      <c r="K45" s="150">
        <v>10.146034349568</v>
      </c>
    </row>
    <row r="46" spans="1:11" ht="18" x14ac:dyDescent="0.25">
      <c r="A46" s="145"/>
      <c r="B46" s="146" t="s">
        <v>185</v>
      </c>
      <c r="C46" s="147">
        <v>0</v>
      </c>
      <c r="D46" s="148">
        <v>0</v>
      </c>
      <c r="E46" s="148">
        <v>0</v>
      </c>
      <c r="F46" s="148">
        <v>0</v>
      </c>
      <c r="G46" s="148">
        <v>0</v>
      </c>
      <c r="H46" s="148">
        <v>0</v>
      </c>
      <c r="I46" s="148">
        <v>0</v>
      </c>
      <c r="J46" s="148">
        <v>0</v>
      </c>
      <c r="K46" s="148">
        <v>0</v>
      </c>
    </row>
    <row r="47" spans="1:11" ht="18" x14ac:dyDescent="0.25">
      <c r="A47" s="145"/>
      <c r="B47" s="149" t="s">
        <v>186</v>
      </c>
      <c r="C47" s="150">
        <v>1544.9084898042029</v>
      </c>
      <c r="D47" s="150">
        <v>0</v>
      </c>
      <c r="E47" s="150">
        <v>0</v>
      </c>
      <c r="F47" s="150">
        <v>0</v>
      </c>
      <c r="G47" s="150">
        <v>0</v>
      </c>
      <c r="H47" s="150">
        <v>0</v>
      </c>
      <c r="I47" s="150">
        <v>0</v>
      </c>
      <c r="J47" s="150">
        <v>0</v>
      </c>
      <c r="K47" s="150">
        <v>1544.9084898042029</v>
      </c>
    </row>
    <row r="48" spans="1:11" ht="15.75" thickBot="1" x14ac:dyDescent="0.3">
      <c r="A48" s="151"/>
      <c r="B48" s="152" t="s">
        <v>175</v>
      </c>
      <c r="C48" s="153">
        <v>1992.8218705095474</v>
      </c>
      <c r="D48" s="154">
        <v>13.64714765568</v>
      </c>
      <c r="E48" s="154">
        <v>0</v>
      </c>
      <c r="F48" s="154">
        <v>1.1559763343662908</v>
      </c>
      <c r="G48" s="154">
        <v>0</v>
      </c>
      <c r="H48" s="154">
        <v>0</v>
      </c>
      <c r="I48" s="154">
        <v>0</v>
      </c>
      <c r="J48" s="154">
        <v>10.146034349568</v>
      </c>
      <c r="K48" s="154">
        <v>2017.7710288491617</v>
      </c>
    </row>
  </sheetData>
  <mergeCells count="13">
    <mergeCell ref="A18:B18"/>
    <mergeCell ref="A19:A29"/>
    <mergeCell ref="A36:B36"/>
    <mergeCell ref="C36:K36"/>
    <mergeCell ref="A37:B37"/>
    <mergeCell ref="A38:A48"/>
    <mergeCell ref="A1:K1"/>
    <mergeCell ref="A3:B3"/>
    <mergeCell ref="C3:K3"/>
    <mergeCell ref="A4:B4"/>
    <mergeCell ref="A5:A15"/>
    <mergeCell ref="A17:B17"/>
    <mergeCell ref="C17:K17"/>
  </mergeCells>
  <pageMargins left="0.7" right="0.7" top="0.75" bottom="0.75" header="0.3" footer="0.3"/>
  <pageSetup paperSize="9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71"/>
  <sheetViews>
    <sheetView showGridLines="0" tabSelected="1" topLeftCell="A34" zoomScaleNormal="100" workbookViewId="0">
      <selection activeCell="L77" sqref="L77"/>
    </sheetView>
  </sheetViews>
  <sheetFormatPr defaultRowHeight="12.75" x14ac:dyDescent="0.2"/>
  <cols>
    <col min="1" max="2" width="9.140625" style="114"/>
    <col min="3" max="3" width="15" style="114" customWidth="1"/>
    <col min="4" max="4" width="12.7109375" style="114" bestFit="1" customWidth="1"/>
    <col min="5" max="5" width="12.5703125" style="114" bestFit="1" customWidth="1"/>
    <col min="6" max="6" width="14.140625" style="114" bestFit="1" customWidth="1"/>
    <col min="7" max="7" width="13.42578125" style="114" bestFit="1" customWidth="1"/>
    <col min="8" max="8" width="12.7109375" style="114" bestFit="1" customWidth="1"/>
    <col min="9" max="9" width="9.42578125" style="114" bestFit="1" customWidth="1"/>
    <col min="10" max="10" width="14.85546875" style="114" bestFit="1" customWidth="1"/>
    <col min="11" max="11" width="10.85546875" style="114" bestFit="1" customWidth="1"/>
    <col min="12" max="12" width="14" style="114" bestFit="1" customWidth="1"/>
    <col min="13" max="13" width="9.42578125" style="114" bestFit="1" customWidth="1"/>
    <col min="14" max="17" width="9.140625" style="114"/>
    <col min="18" max="18" width="3.7109375" style="177" customWidth="1"/>
    <col min="19" max="22" width="9.140625" style="114"/>
    <col min="23" max="23" width="11.28515625" style="114" customWidth="1"/>
    <col min="24" max="16384" width="9.140625" style="114"/>
  </cols>
  <sheetData>
    <row r="1" spans="2:23" ht="13.5" thickBot="1" x14ac:dyDescent="0.25"/>
    <row r="2" spans="2:23" x14ac:dyDescent="0.2">
      <c r="B2" s="115" t="s">
        <v>165</v>
      </c>
      <c r="C2" s="115"/>
      <c r="D2" s="116" t="s">
        <v>166</v>
      </c>
      <c r="E2" s="116"/>
      <c r="F2" s="116"/>
      <c r="G2" s="116"/>
      <c r="H2" s="116"/>
      <c r="I2" s="116"/>
      <c r="J2" s="116"/>
      <c r="K2" s="116"/>
      <c r="L2" s="116"/>
      <c r="S2" s="161" t="s">
        <v>208</v>
      </c>
    </row>
    <row r="3" spans="2:23" x14ac:dyDescent="0.2">
      <c r="B3" s="117" t="s">
        <v>189</v>
      </c>
      <c r="C3" s="117"/>
      <c r="D3" s="118" t="s">
        <v>167</v>
      </c>
      <c r="E3" s="118" t="s">
        <v>168</v>
      </c>
      <c r="F3" s="118" t="s">
        <v>169</v>
      </c>
      <c r="G3" s="118" t="s">
        <v>170</v>
      </c>
      <c r="H3" s="118" t="s">
        <v>171</v>
      </c>
      <c r="I3" s="118" t="s">
        <v>172</v>
      </c>
      <c r="J3" s="118" t="s">
        <v>173</v>
      </c>
      <c r="K3" s="118" t="s">
        <v>174</v>
      </c>
      <c r="L3" s="118" t="s">
        <v>175</v>
      </c>
    </row>
    <row r="4" spans="2:23" ht="15" x14ac:dyDescent="0.25">
      <c r="B4" s="119" t="s">
        <v>176</v>
      </c>
      <c r="C4" s="120" t="s">
        <v>177</v>
      </c>
      <c r="D4" s="121">
        <v>191.50189122074011</v>
      </c>
      <c r="E4" s="121">
        <v>0</v>
      </c>
      <c r="F4" s="121">
        <v>0</v>
      </c>
      <c r="G4" s="121">
        <v>0</v>
      </c>
      <c r="H4" s="121">
        <v>0</v>
      </c>
      <c r="I4" s="121">
        <v>0</v>
      </c>
      <c r="J4" s="121">
        <v>0</v>
      </c>
      <c r="K4" s="121">
        <v>0</v>
      </c>
      <c r="L4" s="121">
        <v>191.50189122074011</v>
      </c>
      <c r="S4" s="132">
        <f>1000/3.6</f>
        <v>277.77777777777777</v>
      </c>
      <c r="T4" s="132" t="s">
        <v>187</v>
      </c>
    </row>
    <row r="5" spans="2:23" ht="25.5" x14ac:dyDescent="0.2">
      <c r="B5" s="119"/>
      <c r="C5" s="122" t="s">
        <v>178</v>
      </c>
      <c r="D5" s="123">
        <v>45.824390494585977</v>
      </c>
      <c r="E5" s="123">
        <v>9.8795165389101172</v>
      </c>
      <c r="F5" s="123">
        <v>0</v>
      </c>
      <c r="G5" s="123">
        <v>0</v>
      </c>
      <c r="H5" s="123">
        <v>0</v>
      </c>
      <c r="I5" s="123">
        <v>0</v>
      </c>
      <c r="J5" s="123">
        <v>0</v>
      </c>
      <c r="K5" s="123">
        <v>0</v>
      </c>
      <c r="L5" s="123">
        <v>55.703907033496094</v>
      </c>
    </row>
    <row r="6" spans="2:23" ht="25.5" x14ac:dyDescent="0.25">
      <c r="B6" s="119"/>
      <c r="C6" s="120" t="s">
        <v>179</v>
      </c>
      <c r="D6" s="121">
        <v>8.7104085042130848</v>
      </c>
      <c r="E6" s="121">
        <v>0</v>
      </c>
      <c r="F6" s="121">
        <v>0</v>
      </c>
      <c r="G6" s="121">
        <v>0</v>
      </c>
      <c r="H6" s="121">
        <v>0</v>
      </c>
      <c r="I6" s="121">
        <v>0</v>
      </c>
      <c r="J6" s="121">
        <v>0</v>
      </c>
      <c r="K6" s="121">
        <v>0</v>
      </c>
      <c r="L6" s="121">
        <v>8.7104085042130848</v>
      </c>
      <c r="S6" s="132" t="s">
        <v>192</v>
      </c>
      <c r="T6" s="132"/>
      <c r="U6" s="132" t="s">
        <v>193</v>
      </c>
      <c r="V6" s="132"/>
      <c r="W6" s="132"/>
    </row>
    <row r="7" spans="2:23" ht="25.5" x14ac:dyDescent="0.25">
      <c r="B7" s="119"/>
      <c r="C7" s="122" t="s">
        <v>180</v>
      </c>
      <c r="D7" s="123">
        <v>2.627800153056</v>
      </c>
      <c r="E7" s="123">
        <v>0</v>
      </c>
      <c r="F7" s="123">
        <v>0</v>
      </c>
      <c r="G7" s="123">
        <v>0.577152</v>
      </c>
      <c r="H7" s="123">
        <v>0</v>
      </c>
      <c r="I7" s="123">
        <v>4.4889600000000002E-3</v>
      </c>
      <c r="J7" s="123">
        <v>0</v>
      </c>
      <c r="K7" s="123">
        <v>0</v>
      </c>
      <c r="L7" s="123">
        <v>3.2094411130560001</v>
      </c>
      <c r="S7" s="137">
        <v>2005</v>
      </c>
      <c r="T7" s="137"/>
      <c r="U7" s="137">
        <v>0.41850508483275106</v>
      </c>
      <c r="V7" s="137"/>
      <c r="W7" s="132"/>
    </row>
    <row r="8" spans="2:23" ht="25.5" x14ac:dyDescent="0.25">
      <c r="B8" s="119"/>
      <c r="C8" s="120" t="s">
        <v>181</v>
      </c>
      <c r="D8" s="121">
        <v>28.713716917327066</v>
      </c>
      <c r="E8" s="121">
        <v>0</v>
      </c>
      <c r="F8" s="121">
        <v>0</v>
      </c>
      <c r="G8" s="121">
        <v>0</v>
      </c>
      <c r="H8" s="121">
        <v>0</v>
      </c>
      <c r="I8" s="121">
        <v>0</v>
      </c>
      <c r="J8" s="121">
        <v>0</v>
      </c>
      <c r="K8" s="121">
        <v>0</v>
      </c>
      <c r="L8" s="121">
        <v>28.713716917327066</v>
      </c>
      <c r="S8" s="137">
        <v>2006</v>
      </c>
      <c r="T8" s="137"/>
      <c r="U8" s="137">
        <v>0.41098712218148709</v>
      </c>
      <c r="V8" s="137"/>
      <c r="W8" s="132"/>
    </row>
    <row r="9" spans="2:23" ht="25.5" x14ac:dyDescent="0.25">
      <c r="B9" s="119"/>
      <c r="C9" s="122" t="s">
        <v>182</v>
      </c>
      <c r="D9" s="123">
        <v>24.135163532256708</v>
      </c>
      <c r="E9" s="123">
        <v>0</v>
      </c>
      <c r="F9" s="123">
        <v>0</v>
      </c>
      <c r="G9" s="123">
        <v>0</v>
      </c>
      <c r="H9" s="123">
        <v>0</v>
      </c>
      <c r="I9" s="123">
        <v>0</v>
      </c>
      <c r="J9" s="123">
        <v>0</v>
      </c>
      <c r="K9" s="123">
        <v>0</v>
      </c>
      <c r="L9" s="123">
        <v>24.135163532256708</v>
      </c>
      <c r="S9" s="137">
        <v>2007</v>
      </c>
      <c r="T9" s="137"/>
      <c r="U9" s="137">
        <v>0.38117183491608825</v>
      </c>
      <c r="V9" s="137"/>
      <c r="W9" s="132"/>
    </row>
    <row r="10" spans="2:23" ht="25.5" x14ac:dyDescent="0.25">
      <c r="B10" s="119"/>
      <c r="C10" s="120" t="s">
        <v>183</v>
      </c>
      <c r="D10" s="121">
        <v>5.5361408369771299</v>
      </c>
      <c r="E10" s="121">
        <v>0</v>
      </c>
      <c r="F10" s="121">
        <v>0</v>
      </c>
      <c r="G10" s="121">
        <v>0</v>
      </c>
      <c r="H10" s="121">
        <v>0</v>
      </c>
      <c r="I10" s="121">
        <v>0</v>
      </c>
      <c r="J10" s="121">
        <v>0</v>
      </c>
      <c r="K10" s="121">
        <v>0</v>
      </c>
      <c r="L10" s="121">
        <v>5.5361408369771299</v>
      </c>
      <c r="S10" s="137">
        <v>2008</v>
      </c>
      <c r="T10" s="137"/>
      <c r="U10" s="137">
        <v>0.40796735746095392</v>
      </c>
      <c r="V10" s="137"/>
      <c r="W10" s="132"/>
    </row>
    <row r="11" spans="2:23" ht="25.5" x14ac:dyDescent="0.25">
      <c r="B11" s="119"/>
      <c r="C11" s="122" t="s">
        <v>184</v>
      </c>
      <c r="D11" s="123">
        <v>4.100459139563295</v>
      </c>
      <c r="E11" s="123">
        <v>0</v>
      </c>
      <c r="F11" s="123">
        <v>0</v>
      </c>
      <c r="G11" s="123">
        <v>0</v>
      </c>
      <c r="H11" s="123">
        <v>0</v>
      </c>
      <c r="I11" s="123">
        <v>0</v>
      </c>
      <c r="J11" s="123">
        <v>0</v>
      </c>
      <c r="K11" s="123">
        <v>0.22820590079999997</v>
      </c>
      <c r="L11" s="123">
        <v>4.3286650403632949</v>
      </c>
      <c r="S11" s="137">
        <v>2009</v>
      </c>
      <c r="T11" s="137"/>
      <c r="U11" s="137">
        <v>0.39346786961887348</v>
      </c>
      <c r="V11" s="137"/>
      <c r="W11" s="132"/>
    </row>
    <row r="12" spans="2:23" ht="25.5" x14ac:dyDescent="0.25">
      <c r="B12" s="119"/>
      <c r="C12" s="120" t="s">
        <v>185</v>
      </c>
      <c r="D12" s="121">
        <v>22.410677491200001</v>
      </c>
      <c r="E12" s="121">
        <v>0</v>
      </c>
      <c r="F12" s="121">
        <v>6586</v>
      </c>
      <c r="G12" s="121">
        <v>0</v>
      </c>
      <c r="H12" s="121">
        <v>2363</v>
      </c>
      <c r="I12" s="121">
        <v>0</v>
      </c>
      <c r="J12" s="121">
        <v>1196</v>
      </c>
      <c r="K12" s="121">
        <v>0</v>
      </c>
      <c r="L12" s="121">
        <v>10167.4106774912</v>
      </c>
      <c r="S12" s="137">
        <v>2010</v>
      </c>
      <c r="T12" s="137"/>
      <c r="U12" s="137">
        <v>0.39597311749394226</v>
      </c>
      <c r="V12" s="137">
        <v>0.65932710821426821</v>
      </c>
      <c r="W12" s="133" t="s">
        <v>144</v>
      </c>
    </row>
    <row r="13" spans="2:23" ht="25.5" x14ac:dyDescent="0.25">
      <c r="B13" s="119"/>
      <c r="C13" s="122" t="s">
        <v>186</v>
      </c>
      <c r="D13" s="123">
        <v>776.08565155424526</v>
      </c>
      <c r="E13" s="123">
        <v>0</v>
      </c>
      <c r="F13" s="123">
        <v>0</v>
      </c>
      <c r="G13" s="123">
        <v>0</v>
      </c>
      <c r="H13" s="123">
        <v>0</v>
      </c>
      <c r="I13" s="123">
        <v>0</v>
      </c>
      <c r="J13" s="123">
        <v>0</v>
      </c>
      <c r="K13" s="123">
        <v>0</v>
      </c>
      <c r="L13" s="123">
        <v>776.08565155424526</v>
      </c>
      <c r="S13" s="137">
        <v>2011</v>
      </c>
      <c r="T13" s="137"/>
      <c r="U13" s="137">
        <v>0.38576030370435432</v>
      </c>
      <c r="V13" s="137">
        <v>0.64232195133585257</v>
      </c>
      <c r="W13" s="132"/>
    </row>
    <row r="14" spans="2:23" ht="15.75" thickBot="1" x14ac:dyDescent="0.3">
      <c r="B14" s="124"/>
      <c r="C14" s="125" t="s">
        <v>190</v>
      </c>
      <c r="D14" s="126">
        <v>1109.6462998441646</v>
      </c>
      <c r="E14" s="126">
        <v>9.8795165389101172</v>
      </c>
      <c r="F14" s="126">
        <v>6586</v>
      </c>
      <c r="G14" s="126">
        <v>0.577152</v>
      </c>
      <c r="H14" s="126">
        <v>2363</v>
      </c>
      <c r="I14" s="126">
        <v>4.4889600000000002E-3</v>
      </c>
      <c r="J14" s="126">
        <v>1196</v>
      </c>
      <c r="K14" s="126">
        <v>0.22820590079999997</v>
      </c>
      <c r="L14" s="126">
        <v>11265.335663243875</v>
      </c>
      <c r="S14" s="137">
        <v>2012</v>
      </c>
      <c r="T14" s="137"/>
      <c r="U14" s="137">
        <v>0.37253465858025703</v>
      </c>
      <c r="V14" s="137">
        <v>0.62030018781532115</v>
      </c>
      <c r="W14" s="132"/>
    </row>
    <row r="15" spans="2:23" ht="15" x14ac:dyDescent="0.25">
      <c r="C15" s="114" t="s">
        <v>188</v>
      </c>
      <c r="D15" s="127">
        <f>D14*$S$4</f>
        <v>308235.08329004573</v>
      </c>
      <c r="E15" s="127">
        <f>E14*$S$4</f>
        <v>2744.3101496972549</v>
      </c>
      <c r="F15" s="127">
        <f>F14*$S$4</f>
        <v>1829444.4444444445</v>
      </c>
      <c r="G15" s="127">
        <f>G14*$S$4</f>
        <v>160.32</v>
      </c>
      <c r="H15" s="127">
        <f>H14*$S$4</f>
        <v>656388.88888888888</v>
      </c>
      <c r="I15" s="127">
        <f>I14*$S$4</f>
        <v>1.2469333333333334</v>
      </c>
      <c r="J15" s="127">
        <f>J14*$S$4</f>
        <v>332222.22222222219</v>
      </c>
      <c r="K15" s="127">
        <f>K14*$S$4</f>
        <v>63.390527999999989</v>
      </c>
      <c r="L15" s="128">
        <f>SUM(D15:K15)</f>
        <v>3129259.9064566316</v>
      </c>
      <c r="S15" s="137">
        <v>2013</v>
      </c>
      <c r="T15" s="137"/>
      <c r="U15" s="137">
        <v>0.31790354159768686</v>
      </c>
      <c r="V15" s="137">
        <v>0.52933498137252666</v>
      </c>
      <c r="W15" s="132"/>
    </row>
    <row r="16" spans="2:23" ht="15" x14ac:dyDescent="0.25">
      <c r="D16" s="130">
        <f>D15/$L$15</f>
        <v>9.8500953102061403E-2</v>
      </c>
      <c r="E16" s="130">
        <f t="shared" ref="E16:K16" si="0">E15/$L$15</f>
        <v>8.7698376987954685E-4</v>
      </c>
      <c r="F16" s="130">
        <f t="shared" si="0"/>
        <v>0.58462527854261459</v>
      </c>
      <c r="G16" s="130">
        <f t="shared" si="0"/>
        <v>5.1232561306016871E-5</v>
      </c>
      <c r="H16" s="130">
        <f t="shared" si="0"/>
        <v>0.20975850792532619</v>
      </c>
      <c r="I16" s="130">
        <f t="shared" si="0"/>
        <v>3.9847547682457573E-7</v>
      </c>
      <c r="J16" s="130">
        <f t="shared" si="0"/>
        <v>0.10616638826859505</v>
      </c>
      <c r="K16" s="130">
        <f t="shared" si="0"/>
        <v>2.0257354740399066E-5</v>
      </c>
      <c r="S16" s="137">
        <v>2014</v>
      </c>
      <c r="T16" s="137"/>
      <c r="U16" s="137">
        <v>0.30494002442002005</v>
      </c>
      <c r="V16" s="137">
        <v>0.5077496819786409</v>
      </c>
      <c r="W16" s="132"/>
    </row>
    <row r="17" spans="3:23" ht="15" x14ac:dyDescent="0.25">
      <c r="S17" s="137">
        <v>2015</v>
      </c>
      <c r="T17" s="138">
        <v>0.2109</v>
      </c>
      <c r="U17" s="137">
        <v>0.30218281402127356</v>
      </c>
      <c r="V17" s="137">
        <v>0.50315870476673041</v>
      </c>
      <c r="W17" s="135"/>
    </row>
    <row r="18" spans="3:23" ht="15.75" thickBot="1" x14ac:dyDescent="0.3">
      <c r="C18" s="157" t="s">
        <v>191</v>
      </c>
      <c r="D18" s="158">
        <v>1627</v>
      </c>
      <c r="E18" s="158">
        <v>109</v>
      </c>
      <c r="F18" s="158">
        <v>7782</v>
      </c>
      <c r="G18" s="158"/>
      <c r="H18" s="158">
        <v>2363</v>
      </c>
      <c r="I18" s="158"/>
      <c r="J18" s="158"/>
      <c r="K18" s="158">
        <v>2752</v>
      </c>
      <c r="L18" s="159">
        <f>SUM(D18:K18)</f>
        <v>14633</v>
      </c>
      <c r="M18" s="114" t="s">
        <v>210</v>
      </c>
      <c r="S18" s="137">
        <v>2016</v>
      </c>
      <c r="T18" s="138">
        <v>0.23039999999999999</v>
      </c>
      <c r="U18" s="137">
        <v>0.29438105707622331</v>
      </c>
      <c r="V18" s="137">
        <v>0.49016815157431765</v>
      </c>
      <c r="W18" s="135"/>
    </row>
    <row r="19" spans="3:23" ht="15" x14ac:dyDescent="0.25">
      <c r="D19" s="131"/>
      <c r="E19" s="131"/>
      <c r="F19" s="131"/>
      <c r="G19" s="131"/>
      <c r="H19" s="131"/>
      <c r="I19" s="131"/>
      <c r="J19" s="131"/>
      <c r="K19" s="131"/>
      <c r="S19" s="132">
        <v>2017</v>
      </c>
      <c r="T19" s="134">
        <v>0.2014</v>
      </c>
      <c r="U19" s="132">
        <v>0.28923787913215698</v>
      </c>
      <c r="V19" s="132">
        <v>0.48160434637876787</v>
      </c>
      <c r="W19" s="135"/>
    </row>
    <row r="20" spans="3:23" ht="15" x14ac:dyDescent="0.25">
      <c r="D20" s="114" t="s">
        <v>202</v>
      </c>
      <c r="S20" s="132">
        <v>2018</v>
      </c>
      <c r="T20" s="134">
        <v>0.22509999999999999</v>
      </c>
      <c r="U20" s="132">
        <v>0.28297744651172796</v>
      </c>
      <c r="V20" s="132">
        <v>0.47118022223134792</v>
      </c>
      <c r="W20" s="135"/>
    </row>
    <row r="21" spans="3:23" ht="15.75" thickBot="1" x14ac:dyDescent="0.3">
      <c r="C21" s="166" t="s">
        <v>192</v>
      </c>
      <c r="D21" s="167" t="s">
        <v>167</v>
      </c>
      <c r="E21" s="167" t="s">
        <v>168</v>
      </c>
      <c r="F21" s="167" t="s">
        <v>169</v>
      </c>
      <c r="G21" s="167" t="s">
        <v>170</v>
      </c>
      <c r="H21" s="167" t="s">
        <v>171</v>
      </c>
      <c r="I21" s="167" t="s">
        <v>172</v>
      </c>
      <c r="J21" s="167" t="s">
        <v>173</v>
      </c>
      <c r="K21" s="167" t="s">
        <v>174</v>
      </c>
      <c r="S21" s="132">
        <v>2019</v>
      </c>
      <c r="T21" s="134">
        <v>0.2417</v>
      </c>
      <c r="U21" s="132">
        <v>0.27744301058971438</v>
      </c>
      <c r="V21" s="132">
        <v>0.46196494101439967</v>
      </c>
      <c r="W21" s="135"/>
    </row>
    <row r="22" spans="3:23" ht="15" x14ac:dyDescent="0.25">
      <c r="C22" s="164">
        <v>2017</v>
      </c>
      <c r="D22" s="165">
        <f>D15*(1+ratio)^5*V19</f>
        <v>177203.05658476471</v>
      </c>
      <c r="E22" s="165">
        <f>E14*(1+ratio)^5*FEt_GLP/1000</f>
        <v>745.75955412115638</v>
      </c>
      <c r="F22" s="165">
        <f>F14*(1+ratio)^5*FEt_GHO/1000</f>
        <v>547934.09193096112</v>
      </c>
      <c r="G22" s="165">
        <f>G14*(1+ratio)^5*FEt_LEN/1000</f>
        <v>74.089895057570232</v>
      </c>
      <c r="H22" s="165">
        <f>H14*(1+ratio)^5*FEt_TUR/1000</f>
        <v>203927.94059301022</v>
      </c>
      <c r="I22" s="165"/>
      <c r="J22" s="165">
        <f>J14*(1+ratio)^5*FEt_GHO/1000</f>
        <v>99503.36683107038</v>
      </c>
      <c r="K22" s="165">
        <f>K14*(1+ratio)^5*FEt_D2/1000</f>
        <v>20.293575275258885</v>
      </c>
      <c r="S22" s="132">
        <v>2020</v>
      </c>
      <c r="T22" s="136">
        <v>0.2293</v>
      </c>
      <c r="U22" s="132">
        <v>0.27172734469786919</v>
      </c>
      <c r="V22" s="132">
        <v>0.45244789731244461</v>
      </c>
      <c r="W22" s="135"/>
    </row>
    <row r="23" spans="3:23" ht="15" x14ac:dyDescent="0.25">
      <c r="C23" s="162">
        <v>2018</v>
      </c>
      <c r="D23" s="163">
        <f>D22*(1+ratio)</f>
        <v>183590.81817984721</v>
      </c>
      <c r="E23" s="163">
        <f>E22*(1+ratio)</f>
        <v>772.6424664748846</v>
      </c>
      <c r="F23" s="163">
        <f>F22*(1+ratio)</f>
        <v>567685.85251867282</v>
      </c>
      <c r="G23" s="163">
        <f>G22*(1+ratio)</f>
        <v>76.760664937919628</v>
      </c>
      <c r="H23" s="163">
        <f>H22*(1+ratio)</f>
        <v>211279.07263435388</v>
      </c>
      <c r="I23" s="163"/>
      <c r="J23" s="163">
        <f>J22*(1+ratio)</f>
        <v>103090.23377047262</v>
      </c>
      <c r="K23" s="163">
        <f>K22*(1+ratio)</f>
        <v>21.025111871007198</v>
      </c>
      <c r="S23" s="132">
        <v>2021</v>
      </c>
      <c r="T23" s="136">
        <v>0.22919999999999999</v>
      </c>
      <c r="U23" s="132">
        <v>0.26627118266114141</v>
      </c>
      <c r="V23" s="132">
        <v>0.44336294841391433</v>
      </c>
      <c r="W23" s="135"/>
    </row>
    <row r="24" spans="3:23" ht="15" x14ac:dyDescent="0.25">
      <c r="C24" s="162">
        <v>2019</v>
      </c>
      <c r="D24" s="163">
        <f>D23*(1+ratio)</f>
        <v>190208.84385153209</v>
      </c>
      <c r="E24" s="163">
        <f>E23*(1+ratio)</f>
        <v>800.49444583234697</v>
      </c>
      <c r="F24" s="163">
        <f>F23*(1+ratio)</f>
        <v>588149.61853196309</v>
      </c>
      <c r="G24" s="163">
        <f>G23*(1+ratio)</f>
        <v>79.527709914194588</v>
      </c>
      <c r="H24" s="163">
        <f>H23*(1+ratio)</f>
        <v>218895.19603554811</v>
      </c>
      <c r="I24" s="163"/>
      <c r="J24" s="163">
        <f>J23*(1+ratio)</f>
        <v>106806.39899244273</v>
      </c>
      <c r="K24" s="163">
        <f>K23*(1+ratio)</f>
        <v>21.783018674255196</v>
      </c>
      <c r="S24" s="132">
        <v>2022</v>
      </c>
      <c r="T24" s="136">
        <v>0.24740000000000001</v>
      </c>
      <c r="U24" s="132">
        <v>0.2608551239988916</v>
      </c>
      <c r="V24" s="132">
        <v>0.43434477486137602</v>
      </c>
      <c r="W24" s="135"/>
    </row>
    <row r="25" spans="3:23" ht="15" x14ac:dyDescent="0.25">
      <c r="C25" s="162">
        <v>2020</v>
      </c>
      <c r="D25" s="163">
        <f>D24*(1+ratio)</f>
        <v>197065.434088838</v>
      </c>
      <c r="E25" s="163">
        <f>E24*(1+ratio)</f>
        <v>829.35042482455333</v>
      </c>
      <c r="F25" s="163">
        <f>F24*(1+ratio)</f>
        <v>609351.05612468184</v>
      </c>
      <c r="G25" s="163">
        <f>G24*(1+ratio)</f>
        <v>82.394500481612098</v>
      </c>
      <c r="H25" s="163">
        <f>H24*(1+ratio)</f>
        <v>226785.86312409848</v>
      </c>
      <c r="I25" s="163"/>
      <c r="J25" s="163">
        <f>J24*(1+ratio)</f>
        <v>110656.52340193129</v>
      </c>
      <c r="K25" s="163">
        <f>K24*(1+ratio)</f>
        <v>22.568246270178818</v>
      </c>
      <c r="S25" s="132">
        <v>2023</v>
      </c>
      <c r="T25" s="136">
        <v>0.25040000000000001</v>
      </c>
      <c r="U25" s="132">
        <v>0.2555832506457778</v>
      </c>
      <c r="V25" s="132">
        <v>0.42556668145246285</v>
      </c>
      <c r="W25" s="135"/>
    </row>
    <row r="26" spans="3:23" ht="15" x14ac:dyDescent="0.25">
      <c r="C26" s="162">
        <v>2021</v>
      </c>
      <c r="D26" s="163">
        <f>D25*(1+ratio)</f>
        <v>204169.18859427338</v>
      </c>
      <c r="E26" s="163">
        <f>E25*(1+ratio)</f>
        <v>859.24659532331395</v>
      </c>
      <c r="F26" s="163">
        <f>F25*(1+ratio)</f>
        <v>631316.75665634451</v>
      </c>
      <c r="G26" s="163">
        <f>G25*(1+ratio)</f>
        <v>85.364632238739475</v>
      </c>
      <c r="H26" s="163">
        <f>H25*(1+ratio)</f>
        <v>234960.97056689134</v>
      </c>
      <c r="I26" s="163"/>
      <c r="J26" s="163">
        <f>J25*(1+ratio)</f>
        <v>114645.43591876526</v>
      </c>
      <c r="K26" s="163">
        <f>K25*(1+ratio)</f>
        <v>23.381779510357738</v>
      </c>
      <c r="S26" s="132">
        <v>2024</v>
      </c>
      <c r="T26" s="136">
        <v>0.2155</v>
      </c>
      <c r="U26" s="132">
        <v>0.25040125516228035</v>
      </c>
      <c r="V26" s="132">
        <v>0.41693824192975698</v>
      </c>
      <c r="W26" s="135"/>
    </row>
    <row r="27" spans="3:23" ht="15" x14ac:dyDescent="0.25">
      <c r="C27" s="162">
        <v>2022</v>
      </c>
      <c r="D27" s="163">
        <f>D26*(1+ratio)</f>
        <v>211529.01706979296</v>
      </c>
      <c r="E27" s="163">
        <f>E26*(1+ratio)</f>
        <v>890.22045383396653</v>
      </c>
      <c r="F27" s="163">
        <f>F26*(1+ratio)</f>
        <v>654074.27004366252</v>
      </c>
      <c r="G27" s="163">
        <f>G26*(1+ratio)</f>
        <v>88.441830397181647</v>
      </c>
      <c r="H27" s="163">
        <f>H26*(1+ratio)</f>
        <v>243430.77178283458</v>
      </c>
      <c r="I27" s="163"/>
      <c r="J27" s="163">
        <f>J26*(1+ratio)</f>
        <v>118778.13953419683</v>
      </c>
      <c r="K27" s="163">
        <f>K26*(1+ratio)</f>
        <v>24.22463874800021</v>
      </c>
      <c r="S27" s="132">
        <v>2025</v>
      </c>
      <c r="T27" s="136">
        <v>0.20780000000000001</v>
      </c>
      <c r="U27" s="132">
        <v>0.24533248985036507</v>
      </c>
      <c r="V27" s="132">
        <v>0.40849833975540539</v>
      </c>
      <c r="W27" s="135"/>
    </row>
    <row r="28" spans="3:23" ht="15" x14ac:dyDescent="0.25">
      <c r="C28" s="162">
        <v>2023</v>
      </c>
      <c r="D28" s="163">
        <f>D27*(1+ratio)</f>
        <v>219154.1503915629</v>
      </c>
      <c r="E28" s="163">
        <f>E27*(1+ratio)</f>
        <v>922.31084852440688</v>
      </c>
      <c r="F28" s="163">
        <f>F27*(1+ratio)</f>
        <v>677652.13931432017</v>
      </c>
      <c r="G28" s="163">
        <f>G27*(1+ratio)</f>
        <v>91.629954453832312</v>
      </c>
      <c r="H28" s="163">
        <f>H27*(1+ratio)</f>
        <v>252205.8898029454</v>
      </c>
      <c r="I28" s="163"/>
      <c r="J28" s="163">
        <f>J27*(1+ratio)</f>
        <v>123059.81758577694</v>
      </c>
      <c r="K28" s="163">
        <f>K27*(1+ratio)</f>
        <v>25.097881117694907</v>
      </c>
      <c r="S28" s="132">
        <v>2026</v>
      </c>
      <c r="T28" s="136">
        <v>0.21740000000000001</v>
      </c>
      <c r="U28" s="132">
        <v>0.24036232986630196</v>
      </c>
      <c r="V28" s="132">
        <v>0.40022262338760234</v>
      </c>
      <c r="W28" s="135"/>
    </row>
    <row r="29" spans="3:23" ht="15" x14ac:dyDescent="0.25">
      <c r="C29" s="162">
        <v>2024</v>
      </c>
      <c r="D29" s="163">
        <f>D28*(1+ratio)</f>
        <v>227054.15218755067</v>
      </c>
      <c r="E29" s="163">
        <f>E28*(1+ratio)</f>
        <v>955.55802794940723</v>
      </c>
      <c r="F29" s="163">
        <f>F28*(1+ratio)</f>
        <v>702079.93640633533</v>
      </c>
      <c r="G29" s="163">
        <f>G28*(1+ratio)</f>
        <v>94.933003031548964</v>
      </c>
      <c r="H29" s="163">
        <f>H28*(1+ratio)</f>
        <v>261297.33059401455</v>
      </c>
      <c r="I29" s="163"/>
      <c r="J29" s="163">
        <f>J28*(1+ratio)</f>
        <v>127495.84025842349</v>
      </c>
      <c r="K29" s="163">
        <f>K28*(1+ratio)</f>
        <v>26.002601861294888</v>
      </c>
      <c r="S29" s="132">
        <v>2027</v>
      </c>
      <c r="T29" s="136">
        <v>0.20599999999999999</v>
      </c>
      <c r="U29" s="132">
        <v>0.23549481897214558</v>
      </c>
      <c r="V29" s="132">
        <v>0.3921178260156073</v>
      </c>
      <c r="W29" s="135"/>
    </row>
    <row r="30" spans="3:23" ht="15" x14ac:dyDescent="0.25">
      <c r="C30" s="162">
        <v>2025</v>
      </c>
      <c r="D30" s="163">
        <f>D29*(1+ratio)</f>
        <v>235238.93083246009</v>
      </c>
      <c r="E30" s="163">
        <f>E29*(1+ratio)</f>
        <v>990.00369153133443</v>
      </c>
      <c r="F30" s="163">
        <f>F29*(1+ratio)</f>
        <v>727388.29925790441</v>
      </c>
      <c r="G30" s="163">
        <f>G29*(1+ratio)</f>
        <v>98.35511889432307</v>
      </c>
      <c r="H30" s="163">
        <f>H29*(1+ratio)</f>
        <v>270716.49686255807</v>
      </c>
      <c r="I30" s="163"/>
      <c r="J30" s="163">
        <f>J29*(1+ratio)</f>
        <v>132091.7713198381</v>
      </c>
      <c r="K30" s="163">
        <f>K29*(1+ratio)</f>
        <v>26.939935701596607</v>
      </c>
      <c r="S30" s="132">
        <v>2028</v>
      </c>
      <c r="T30" s="136">
        <v>0.20180000000000001</v>
      </c>
      <c r="U30" s="132">
        <v>0.23072491890682831</v>
      </c>
      <c r="V30" s="132">
        <v>0.38417555852926766</v>
      </c>
      <c r="W30" s="135"/>
    </row>
    <row r="31" spans="3:23" ht="15" x14ac:dyDescent="0.25">
      <c r="C31" s="162">
        <v>2026</v>
      </c>
      <c r="D31" s="163">
        <f>D30*(1+ratio)</f>
        <v>243718.75187505633</v>
      </c>
      <c r="E31" s="163">
        <f>E30*(1+ratio)</f>
        <v>1025.6910418605808</v>
      </c>
      <c r="F31" s="163">
        <f>F30*(1+ratio)</f>
        <v>753608.97023425088</v>
      </c>
      <c r="G31" s="163">
        <f>G30*(1+ratio)</f>
        <v>101.90059414323561</v>
      </c>
      <c r="H31" s="163">
        <f>H30*(1+ratio)</f>
        <v>280475.20235636953</v>
      </c>
      <c r="I31" s="163"/>
      <c r="J31" s="163">
        <f>J30*(1+ratio)</f>
        <v>136853.37509871912</v>
      </c>
      <c r="K31" s="163">
        <f>K30*(1+ratio)</f>
        <v>27.911058265536887</v>
      </c>
      <c r="S31" s="132">
        <v>2029</v>
      </c>
      <c r="T31" s="136">
        <v>0.20200000000000001</v>
      </c>
      <c r="U31" s="132">
        <v>0.22605210237755627</v>
      </c>
      <c r="V31" s="132">
        <v>0.37639494294364545</v>
      </c>
      <c r="W31" s="135"/>
    </row>
    <row r="32" spans="3:23" ht="15" x14ac:dyDescent="0.25">
      <c r="C32" s="162">
        <v>2027</v>
      </c>
      <c r="D32" s="163">
        <f>D31*(1+ratio)</f>
        <v>252504.25091346726</v>
      </c>
      <c r="E32" s="163">
        <f>E31*(1+ratio)</f>
        <v>1062.664838881306</v>
      </c>
      <c r="F32" s="163">
        <f>F31*(1+ratio)</f>
        <v>780774.83593967301</v>
      </c>
      <c r="G32" s="163">
        <f>G31*(1+ratio)</f>
        <v>105.57387559971481</v>
      </c>
      <c r="H32" s="163">
        <f>H31*(1+ratio)</f>
        <v>290585.6866816103</v>
      </c>
      <c r="I32" s="163"/>
      <c r="J32" s="163">
        <f>J31*(1+ratio)</f>
        <v>141786.62371452307</v>
      </c>
      <c r="K32" s="163">
        <f>K31*(1+ratio)</f>
        <v>28.917187558692859</v>
      </c>
      <c r="S32" s="132">
        <v>2030</v>
      </c>
      <c r="T32" s="136">
        <v>0.2011</v>
      </c>
      <c r="U32" s="132">
        <v>0.22147369295746974</v>
      </c>
      <c r="V32" s="132">
        <v>0.36877152279262271</v>
      </c>
      <c r="W32" s="135"/>
    </row>
    <row r="33" spans="3:26" ht="15" x14ac:dyDescent="0.25">
      <c r="C33" s="162">
        <v>2028</v>
      </c>
      <c r="D33" s="163">
        <f>D32*(1+ratio)</f>
        <v>261606.4469346097</v>
      </c>
      <c r="E33" s="163">
        <f>E32*(1+ratio)</f>
        <v>1100.9714560304492</v>
      </c>
      <c r="F33" s="163">
        <f>F32*(1+ratio)</f>
        <v>808919.9684647239</v>
      </c>
      <c r="G33" s="163">
        <f>G32*(1+ratio)</f>
        <v>109.3795703828479</v>
      </c>
      <c r="H33" s="163">
        <f>H32*(1+ratio)</f>
        <v>301060.63065402175</v>
      </c>
      <c r="I33" s="163"/>
      <c r="J33" s="163">
        <f>J32*(1+ratio)</f>
        <v>146897.70456784236</v>
      </c>
      <c r="K33" s="163">
        <f>K32*(1+ratio)</f>
        <v>29.959585492934234</v>
      </c>
      <c r="S33" s="132"/>
      <c r="T33" s="132"/>
      <c r="U33" s="132"/>
      <c r="V33" s="132"/>
      <c r="W33" s="132"/>
    </row>
    <row r="34" spans="3:26" ht="15" x14ac:dyDescent="0.25">
      <c r="C34" s="162">
        <v>2029</v>
      </c>
      <c r="D34" s="163">
        <f>D33*(1+ratio)</f>
        <v>271036.75613447122</v>
      </c>
      <c r="E34" s="163">
        <f>E33*(1+ratio)</f>
        <v>1140.6589384004233</v>
      </c>
      <c r="F34" s="163">
        <f>F33*(1+ratio)</f>
        <v>838079.66812025779</v>
      </c>
      <c r="G34" s="163">
        <f>G33*(1+ratio)</f>
        <v>113.32245168774212</v>
      </c>
      <c r="H34" s="163">
        <f>H33*(1+ratio)</f>
        <v>311913.17220351339</v>
      </c>
      <c r="I34" s="163"/>
      <c r="J34" s="163">
        <f>J33*(1+ratio)</f>
        <v>152193.02810079386</v>
      </c>
      <c r="K34" s="163">
        <f>K33*(1+ratio)</f>
        <v>31.03955946914391</v>
      </c>
      <c r="S34" s="132" t="s">
        <v>194</v>
      </c>
      <c r="T34" s="132"/>
      <c r="U34" s="132"/>
      <c r="V34" s="132"/>
      <c r="W34" s="132"/>
    </row>
    <row r="35" spans="3:26" x14ac:dyDescent="0.2">
      <c r="C35" s="162">
        <v>2030</v>
      </c>
      <c r="D35" s="163">
        <f>D34*(1+ratio)</f>
        <v>280807.00623658131</v>
      </c>
      <c r="E35" s="163">
        <f>E34*(1+ratio)</f>
        <v>1181.7770629984402</v>
      </c>
      <c r="F35" s="163">
        <f>F34*(1+ratio)</f>
        <v>868290.50771193986</v>
      </c>
      <c r="G35" s="163">
        <f>G34*(1+ratio)</f>
        <v>117.40746477218227</v>
      </c>
      <c r="H35" s="163">
        <f>H34*(1+ratio)</f>
        <v>323156.92285207449</v>
      </c>
      <c r="I35" s="163"/>
      <c r="J35" s="163">
        <f>J34*(1+ratio)</f>
        <v>157679.23583715156</v>
      </c>
      <c r="K35" s="163">
        <f>K34*(1+ratio)</f>
        <v>32.158464016992006</v>
      </c>
    </row>
    <row r="36" spans="3:26" x14ac:dyDescent="0.2">
      <c r="T36" s="118" t="s">
        <v>195</v>
      </c>
      <c r="U36" s="118" t="s">
        <v>196</v>
      </c>
      <c r="V36" s="118" t="s">
        <v>197</v>
      </c>
      <c r="W36" s="118" t="s">
        <v>198</v>
      </c>
      <c r="X36" s="118"/>
      <c r="Y36" s="118"/>
      <c r="Z36" s="118"/>
    </row>
    <row r="37" spans="3:26" ht="15" x14ac:dyDescent="0.2">
      <c r="S37" s="118" t="s">
        <v>168</v>
      </c>
      <c r="T37" s="136">
        <v>63100</v>
      </c>
      <c r="U37" s="136">
        <v>5</v>
      </c>
      <c r="V37" s="136">
        <v>0.1</v>
      </c>
      <c r="W37" s="114">
        <f>T37+U37*21+V37*310</f>
        <v>63236</v>
      </c>
      <c r="X37" s="118"/>
      <c r="Y37" s="118"/>
      <c r="Z37" s="118"/>
    </row>
    <row r="38" spans="3:26" ht="15" x14ac:dyDescent="0.25">
      <c r="D38" s="114" t="s">
        <v>206</v>
      </c>
      <c r="E38" s="114" t="s">
        <v>207</v>
      </c>
      <c r="G38" s="114" t="s">
        <v>209</v>
      </c>
      <c r="S38" s="118" t="s">
        <v>169</v>
      </c>
      <c r="T38" s="136">
        <v>69300</v>
      </c>
      <c r="U38" s="136">
        <v>10</v>
      </c>
      <c r="V38" s="136">
        <v>0.6</v>
      </c>
      <c r="W38" s="114">
        <f t="shared" ref="W38:W42" si="1">T38+U38*21+V38*310</f>
        <v>69696</v>
      </c>
      <c r="X38" s="118"/>
      <c r="Y38" s="118"/>
      <c r="Z38" s="118"/>
    </row>
    <row r="39" spans="3:26" ht="15.75" thickBot="1" x14ac:dyDescent="0.3">
      <c r="C39" s="166" t="s">
        <v>192</v>
      </c>
      <c r="D39" s="172" t="s">
        <v>203</v>
      </c>
      <c r="E39" s="173" t="s">
        <v>204</v>
      </c>
      <c r="F39" s="173" t="s">
        <v>205</v>
      </c>
      <c r="G39" s="173" t="s">
        <v>204</v>
      </c>
      <c r="H39" s="173" t="s">
        <v>205</v>
      </c>
      <c r="S39" s="118" t="s">
        <v>170</v>
      </c>
      <c r="T39" s="136">
        <v>100000</v>
      </c>
      <c r="U39" s="136">
        <v>300</v>
      </c>
      <c r="V39" s="136">
        <v>4</v>
      </c>
      <c r="W39" s="114">
        <f t="shared" si="1"/>
        <v>107540</v>
      </c>
      <c r="X39" s="118"/>
      <c r="Y39" s="118"/>
      <c r="Z39" s="118"/>
    </row>
    <row r="40" spans="3:26" ht="15" x14ac:dyDescent="0.2">
      <c r="C40" s="164">
        <v>2017</v>
      </c>
      <c r="D40" s="170">
        <f>SUM(D22:K22)/1000</f>
        <v>1029.4085989642604</v>
      </c>
      <c r="E40" s="171">
        <f>D40</f>
        <v>1029.4085989642604</v>
      </c>
      <c r="F40" s="171">
        <f t="shared" ref="F40:H40" si="2">E40</f>
        <v>1029.4085989642604</v>
      </c>
      <c r="G40" s="171">
        <f t="shared" si="2"/>
        <v>1029.4085989642604</v>
      </c>
      <c r="H40" s="171">
        <f t="shared" si="2"/>
        <v>1029.4085989642604</v>
      </c>
      <c r="I40" s="128"/>
      <c r="S40" s="118" t="s">
        <v>171</v>
      </c>
      <c r="T40" s="136">
        <v>71900</v>
      </c>
      <c r="U40" s="136">
        <v>10</v>
      </c>
      <c r="V40" s="136">
        <v>0.6</v>
      </c>
      <c r="W40" s="114">
        <f t="shared" si="1"/>
        <v>72296</v>
      </c>
      <c r="X40" s="118"/>
      <c r="Y40" s="118"/>
      <c r="Z40" s="118"/>
    </row>
    <row r="41" spans="3:26" ht="15" x14ac:dyDescent="0.2">
      <c r="C41" s="162">
        <v>2018</v>
      </c>
      <c r="D41" s="168">
        <f>SUM(D23:K23)/1000</f>
        <v>1066.5164053466303</v>
      </c>
      <c r="E41" s="169">
        <f>D41*(1-RIGHT(E$39,3))</f>
        <v>906.5389445446358</v>
      </c>
      <c r="F41" s="169">
        <f>D41*(1-RIGHT(F$39,3))</f>
        <v>799.88730400997269</v>
      </c>
      <c r="G41" s="169">
        <f t="shared" ref="G41:G53" si="3">D41*(1-RIGHT(E$39,3)*5/16)</f>
        <v>1016.523448846007</v>
      </c>
      <c r="H41" s="169">
        <f t="shared" ref="H41:H53" si="4">D41*(1-RIGHT(F$39,3)*5/16)</f>
        <v>983.19481117892485</v>
      </c>
      <c r="S41" s="118" t="s">
        <v>174</v>
      </c>
      <c r="T41" s="136">
        <v>74100</v>
      </c>
      <c r="U41" s="136">
        <v>10</v>
      </c>
      <c r="V41" s="136">
        <v>0.6</v>
      </c>
      <c r="W41" s="114">
        <f>T41+U41*21+V41*310</f>
        <v>74496</v>
      </c>
      <c r="X41" s="118"/>
      <c r="Y41" s="118"/>
      <c r="Z41" s="118"/>
    </row>
    <row r="42" spans="3:26" x14ac:dyDescent="0.2">
      <c r="C42" s="162">
        <v>2019</v>
      </c>
      <c r="D42" s="168">
        <f>SUM(D24:K24)/1000</f>
        <v>1104.9618625859066</v>
      </c>
      <c r="E42" s="169">
        <f>D42*(1-RIGHT(E$39,3))</f>
        <v>939.21758319802063</v>
      </c>
      <c r="F42" s="169">
        <f>D42*(1-RIGHT(F$39,3))</f>
        <v>828.72139693942995</v>
      </c>
      <c r="G42" s="169">
        <f t="shared" si="3"/>
        <v>1053.1667752771923</v>
      </c>
      <c r="H42" s="169">
        <f t="shared" si="4"/>
        <v>1018.6367170713827</v>
      </c>
      <c r="X42" s="118"/>
      <c r="Y42" s="118"/>
      <c r="Z42" s="118"/>
    </row>
    <row r="43" spans="3:26" x14ac:dyDescent="0.2">
      <c r="C43" s="162">
        <v>2020</v>
      </c>
      <c r="D43" s="168">
        <f>SUM(D25:K25)/1000</f>
        <v>1144.7931899111259</v>
      </c>
      <c r="E43" s="169">
        <f>D43*(1-RIGHT(E$39,3))</f>
        <v>973.07421142445696</v>
      </c>
      <c r="F43" s="169">
        <f>D43*(1-RIGHT(F$39,3))</f>
        <v>858.5948924333444</v>
      </c>
      <c r="G43" s="169">
        <f t="shared" si="3"/>
        <v>1091.1310091340417</v>
      </c>
      <c r="H43" s="169">
        <f t="shared" si="4"/>
        <v>1055.3562219493192</v>
      </c>
      <c r="X43" s="118"/>
      <c r="Y43" s="118"/>
      <c r="Z43" s="118"/>
    </row>
    <row r="44" spans="3:26" ht="15" x14ac:dyDescent="0.2">
      <c r="C44" s="162">
        <v>2021</v>
      </c>
      <c r="D44" s="168">
        <f>SUM(D26:K26)/1000</f>
        <v>1186.0603447433471</v>
      </c>
      <c r="E44" s="169">
        <f>D44*(1-RIGHT(E$39,3))</f>
        <v>1008.1512930318449</v>
      </c>
      <c r="F44" s="169">
        <f>D44*(1-RIGHT(F$39,3))</f>
        <v>889.54525855751035</v>
      </c>
      <c r="G44" s="169">
        <f t="shared" si="3"/>
        <v>1130.4637660835026</v>
      </c>
      <c r="H44" s="169">
        <f t="shared" si="4"/>
        <v>1093.399380310273</v>
      </c>
      <c r="T44" s="136"/>
      <c r="U44" s="136"/>
      <c r="V44" s="136"/>
      <c r="X44" s="118"/>
      <c r="Y44" s="118"/>
      <c r="Z44" s="118"/>
    </row>
    <row r="45" spans="3:26" x14ac:dyDescent="0.2">
      <c r="C45" s="162">
        <v>2022</v>
      </c>
      <c r="D45" s="168">
        <f>SUM(D27:K27)/1000</f>
        <v>1228.815085353466</v>
      </c>
      <c r="E45" s="169">
        <f>D45*(1-RIGHT(E$39,3))</f>
        <v>1044.4928225504461</v>
      </c>
      <c r="F45" s="169">
        <f>D45*(1-RIGHT(F$39,3))</f>
        <v>921.61131401509942</v>
      </c>
      <c r="G45" s="169">
        <f t="shared" si="3"/>
        <v>1171.2143782275223</v>
      </c>
      <c r="H45" s="169">
        <f t="shared" si="4"/>
        <v>1132.8139068102264</v>
      </c>
      <c r="X45" s="118"/>
      <c r="Y45" s="118"/>
      <c r="Z45" s="118"/>
    </row>
    <row r="46" spans="3:26" x14ac:dyDescent="0.2">
      <c r="C46" s="162">
        <v>2023</v>
      </c>
      <c r="D46" s="168">
        <f>SUM(D28:K28)/1000</f>
        <v>1273.1110357787013</v>
      </c>
      <c r="E46" s="169">
        <f>D46*(1-RIGHT(E$39,3))</f>
        <v>1082.144380411896</v>
      </c>
      <c r="F46" s="169">
        <f>D46*(1-RIGHT(F$39,3))</f>
        <v>954.83327683402604</v>
      </c>
      <c r="G46" s="169">
        <f t="shared" si="3"/>
        <v>1213.4339559765747</v>
      </c>
      <c r="H46" s="169">
        <f t="shared" si="4"/>
        <v>1173.6492361084902</v>
      </c>
      <c r="X46" s="118"/>
      <c r="Y46" s="118"/>
      <c r="Z46" s="118"/>
    </row>
    <row r="47" spans="3:26" x14ac:dyDescent="0.2">
      <c r="C47" s="162">
        <v>2024</v>
      </c>
      <c r="D47" s="168">
        <f>SUM(D29:K29)/1000</f>
        <v>1319.0037530791662</v>
      </c>
      <c r="E47" s="169">
        <f>D47*(1-RIGHT(E$39,3))</f>
        <v>1121.1531901172914</v>
      </c>
      <c r="F47" s="169">
        <f>D47*(1-RIGHT(F$39,3))</f>
        <v>989.25281480937474</v>
      </c>
      <c r="G47" s="169">
        <f t="shared" si="3"/>
        <v>1257.1754521535804</v>
      </c>
      <c r="H47" s="169">
        <f t="shared" si="4"/>
        <v>1215.9565848698564</v>
      </c>
    </row>
    <row r="48" spans="3:26" x14ac:dyDescent="0.2">
      <c r="C48" s="162">
        <v>2025</v>
      </c>
      <c r="D48" s="168">
        <f>SUM(D30:K30)/1000</f>
        <v>1366.550797018888</v>
      </c>
      <c r="E48" s="169">
        <f>D48*(1-RIGHT(E$39,3))</f>
        <v>1161.5681774660547</v>
      </c>
      <c r="F48" s="169">
        <f>D48*(1-RIGHT(F$39,3))</f>
        <v>1024.913097764166</v>
      </c>
      <c r="G48" s="169">
        <f t="shared" si="3"/>
        <v>1302.4937284086277</v>
      </c>
      <c r="H48" s="169">
        <f t="shared" si="4"/>
        <v>1259.7890160017873</v>
      </c>
    </row>
    <row r="49" spans="3:8" x14ac:dyDescent="0.2">
      <c r="C49" s="162">
        <v>2026</v>
      </c>
      <c r="D49" s="168">
        <f>SUM(D31:K31)/1000</f>
        <v>1415.811802258665</v>
      </c>
      <c r="E49" s="169">
        <f>D49*(1-RIGHT(E$39,3))</f>
        <v>1203.4400319198653</v>
      </c>
      <c r="F49" s="169">
        <f>D49*(1-RIGHT(F$39,3))</f>
        <v>1061.8588516939988</v>
      </c>
      <c r="G49" s="169">
        <f t="shared" si="3"/>
        <v>1349.44562402779</v>
      </c>
      <c r="H49" s="169">
        <f t="shared" si="4"/>
        <v>1305.2015052072068</v>
      </c>
    </row>
    <row r="50" spans="3:8" x14ac:dyDescent="0.2">
      <c r="C50" s="162">
        <v>2027</v>
      </c>
      <c r="D50" s="168">
        <f>SUM(D32:K32)/1000</f>
        <v>1466.8485531513134</v>
      </c>
      <c r="E50" s="169">
        <f>D50*(1-RIGHT(E$39,3))</f>
        <v>1246.8212701786163</v>
      </c>
      <c r="F50" s="169">
        <f>D50*(1-RIGHT(F$39,3))</f>
        <v>1100.136414863485</v>
      </c>
      <c r="G50" s="169">
        <f t="shared" si="3"/>
        <v>1398.0900272223455</v>
      </c>
      <c r="H50" s="169">
        <f t="shared" si="4"/>
        <v>1352.2510099363669</v>
      </c>
    </row>
    <row r="51" spans="3:8" x14ac:dyDescent="0.2">
      <c r="C51" s="162">
        <v>2028</v>
      </c>
      <c r="D51" s="168">
        <f>SUM(D33:K33)/1000</f>
        <v>1519.725061233104</v>
      </c>
      <c r="E51" s="169">
        <f>D51*(1-RIGHT(E$39,3))</f>
        <v>1291.7663020481384</v>
      </c>
      <c r="F51" s="169">
        <f>D51*(1-RIGHT(F$39,3))</f>
        <v>1139.7937959248279</v>
      </c>
      <c r="G51" s="169">
        <f t="shared" si="3"/>
        <v>1448.4879489878024</v>
      </c>
      <c r="H51" s="169">
        <f t="shared" si="4"/>
        <v>1400.9965408242679</v>
      </c>
    </row>
    <row r="52" spans="3:8" x14ac:dyDescent="0.2">
      <c r="C52" s="162">
        <v>2029</v>
      </c>
      <c r="D52" s="168">
        <f>SUM(D34:K34)/1000</f>
        <v>1574.5076455085934</v>
      </c>
      <c r="E52" s="169">
        <f>D52*(1-RIGHT(E$39,3))</f>
        <v>1338.3314986823043</v>
      </c>
      <c r="F52" s="169">
        <f>D52*(1-RIGHT(F$39,3))</f>
        <v>1180.880734131445</v>
      </c>
      <c r="G52" s="169">
        <f t="shared" si="3"/>
        <v>1500.7025996253781</v>
      </c>
      <c r="H52" s="169">
        <f t="shared" si="4"/>
        <v>1451.4992357032345</v>
      </c>
    </row>
    <row r="53" spans="3:8" x14ac:dyDescent="0.2">
      <c r="C53" s="162">
        <v>2030</v>
      </c>
      <c r="D53" s="168">
        <f>SUM(D35:K35)/1000</f>
        <v>1631.2650156295351</v>
      </c>
      <c r="E53" s="169">
        <f>D53*(1-RIGHT(E$39,3))</f>
        <v>1386.5752632851047</v>
      </c>
      <c r="F53" s="169">
        <f>D53*(1-RIGHT(F$39,3))</f>
        <v>1223.4487617221514</v>
      </c>
      <c r="G53" s="169">
        <f t="shared" si="3"/>
        <v>1554.7994680219006</v>
      </c>
      <c r="H53" s="169">
        <f t="shared" si="4"/>
        <v>1503.8224362834776</v>
      </c>
    </row>
    <row r="54" spans="3:8" x14ac:dyDescent="0.2">
      <c r="D54" s="174">
        <f>SUM(D40:D53)</f>
        <v>18327.379150562705</v>
      </c>
      <c r="E54" s="174">
        <f>SUM(E40:E53)</f>
        <v>15732.683567822936</v>
      </c>
      <c r="F54" s="174">
        <f t="shared" ref="F54:H54" si="5">SUM(F40:F53)</f>
        <v>14002.88651266309</v>
      </c>
      <c r="G54" s="174">
        <f t="shared" si="5"/>
        <v>17516.536780956529</v>
      </c>
      <c r="H54" s="174">
        <f t="shared" si="5"/>
        <v>16975.975201219073</v>
      </c>
    </row>
    <row r="55" spans="3:8" x14ac:dyDescent="0.2">
      <c r="E55" s="128">
        <f>$D$54-E54</f>
        <v>2594.6955827397687</v>
      </c>
      <c r="F55" s="128">
        <f t="shared" ref="F55:H55" si="6">$D$54-F54</f>
        <v>4324.4926378996151</v>
      </c>
      <c r="G55" s="128">
        <f t="shared" si="6"/>
        <v>810.84236960617636</v>
      </c>
      <c r="H55" s="128">
        <f t="shared" si="6"/>
        <v>1351.4039493436321</v>
      </c>
    </row>
    <row r="56" spans="3:8" ht="15" x14ac:dyDescent="0.25">
      <c r="D56" s="160"/>
      <c r="E56" s="175">
        <f>E55/13</f>
        <v>199.59196790305913</v>
      </c>
      <c r="F56" s="175">
        <f t="shared" ref="F56:H56" si="7">F55/13</f>
        <v>332.65327983843196</v>
      </c>
      <c r="G56" s="175">
        <f t="shared" si="7"/>
        <v>62.372489969705875</v>
      </c>
      <c r="H56" s="175">
        <f t="shared" si="7"/>
        <v>103.95414994951017</v>
      </c>
    </row>
    <row r="57" spans="3:8" x14ac:dyDescent="0.2">
      <c r="D57" s="129"/>
      <c r="E57" s="129"/>
      <c r="F57" s="129"/>
      <c r="G57" s="129"/>
    </row>
    <row r="58" spans="3:8" x14ac:dyDescent="0.2">
      <c r="D58" s="130">
        <f>5/16</f>
        <v>0.3125</v>
      </c>
      <c r="E58" s="131"/>
      <c r="F58" s="128"/>
      <c r="G58" s="128"/>
    </row>
    <row r="59" spans="3:8" x14ac:dyDescent="0.2">
      <c r="D59" s="131"/>
      <c r="E59" s="131"/>
      <c r="F59" s="176"/>
      <c r="G59" s="128"/>
    </row>
    <row r="60" spans="3:8" x14ac:dyDescent="0.2">
      <c r="D60" s="131"/>
      <c r="E60" s="131"/>
      <c r="F60" s="128"/>
      <c r="G60" s="128"/>
    </row>
    <row r="61" spans="3:8" x14ac:dyDescent="0.2">
      <c r="D61" s="131"/>
      <c r="E61" s="131"/>
      <c r="F61" s="128"/>
      <c r="G61" s="128"/>
    </row>
    <row r="62" spans="3:8" x14ac:dyDescent="0.2">
      <c r="D62" s="131"/>
      <c r="E62" s="131"/>
      <c r="F62" s="128"/>
      <c r="G62" s="128"/>
    </row>
    <row r="63" spans="3:8" x14ac:dyDescent="0.2">
      <c r="D63" s="131"/>
      <c r="E63" s="131"/>
      <c r="F63" s="128"/>
      <c r="G63" s="128"/>
    </row>
    <row r="64" spans="3:8" x14ac:dyDescent="0.2">
      <c r="D64" s="131"/>
      <c r="E64" s="131"/>
      <c r="F64" s="128"/>
      <c r="G64" s="128"/>
    </row>
    <row r="65" spans="4:7" x14ac:dyDescent="0.2">
      <c r="D65" s="131"/>
      <c r="E65" s="131"/>
      <c r="F65" s="128"/>
      <c r="G65" s="128"/>
    </row>
    <row r="66" spans="4:7" x14ac:dyDescent="0.2">
      <c r="D66" s="131"/>
      <c r="E66" s="131"/>
      <c r="F66" s="128"/>
      <c r="G66" s="128"/>
    </row>
    <row r="67" spans="4:7" x14ac:dyDescent="0.2">
      <c r="D67" s="131"/>
      <c r="E67" s="131"/>
      <c r="F67" s="128"/>
      <c r="G67" s="128"/>
    </row>
    <row r="68" spans="4:7" x14ac:dyDescent="0.2">
      <c r="D68" s="131"/>
      <c r="E68" s="131"/>
      <c r="F68" s="128"/>
      <c r="G68" s="128"/>
    </row>
    <row r="69" spans="4:7" x14ac:dyDescent="0.2">
      <c r="D69" s="131"/>
      <c r="E69" s="131"/>
      <c r="F69" s="128"/>
      <c r="G69" s="128"/>
    </row>
    <row r="70" spans="4:7" x14ac:dyDescent="0.2">
      <c r="D70" s="131"/>
      <c r="E70" s="131"/>
      <c r="F70" s="128"/>
      <c r="G70" s="128"/>
    </row>
    <row r="71" spans="4:7" x14ac:dyDescent="0.2">
      <c r="D71" s="131"/>
      <c r="E71" s="131"/>
      <c r="F71" s="128"/>
      <c r="G71" s="128"/>
    </row>
  </sheetData>
  <mergeCells count="4">
    <mergeCell ref="B2:C2"/>
    <mergeCell ref="D2:L2"/>
    <mergeCell ref="B3:C3"/>
    <mergeCell ref="B4:B14"/>
  </mergeCells>
  <conditionalFormatting sqref="D16:K16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{6E602CE2-AAD2-4724-8415-22FA673F4D2B}</x14:id>
        </ext>
      </extLst>
    </cfRule>
  </conditionalFormatting>
  <pageMargins left="0.7" right="0.7" top="0.75" bottom="0.75" header="0.3" footer="0.3"/>
  <pageSetup paperSize="9" orientation="portrait" horizontalDpi="0" verticalDpi="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E602CE2-AAD2-4724-8415-22FA673F4D2B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D16:K16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Resumen (Gg y Mg)</vt:lpstr>
      <vt:lpstr>BNEU-2013</vt:lpstr>
      <vt:lpstr>Reducción emisiones</vt:lpstr>
      <vt:lpstr>FEt_D2</vt:lpstr>
      <vt:lpstr>FEt_GHO</vt:lpstr>
      <vt:lpstr>FEt_GLP</vt:lpstr>
      <vt:lpstr>FEt_LEN</vt:lpstr>
      <vt:lpstr>FEt_TUR</vt:lpstr>
      <vt:lpstr>ratio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ダビドレスかノ</dc:creator>
  <cp:lastModifiedBy>ダビドレスかノ</cp:lastModifiedBy>
  <dcterms:created xsi:type="dcterms:W3CDTF">2017-03-22T21:13:01Z</dcterms:created>
  <dcterms:modified xsi:type="dcterms:W3CDTF">2017-03-23T05:04:00Z</dcterms:modified>
</cp:coreProperties>
</file>